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tabRatio="822" activeTab="14"/>
  </bookViews>
  <sheets>
    <sheet name="NL1" sheetId="1" r:id="rId1"/>
    <sheet name="NL2" sheetId="2" r:id="rId2"/>
    <sheet name="NL3" sheetId="3" r:id="rId3"/>
    <sheet name="NL4" sheetId="4" r:id="rId4"/>
    <sheet name="NL5" sheetId="5" r:id="rId5"/>
    <sheet name="NL6" sheetId="6" r:id="rId6"/>
    <sheet name="NL7" sheetId="7" r:id="rId7"/>
    <sheet name="NL10" sheetId="10" r:id="rId8"/>
    <sheet name="NL12" sheetId="12" r:id="rId9"/>
    <sheet name="NL13" sheetId="13" r:id="rId10"/>
    <sheet name="NL14" sheetId="14" r:id="rId11"/>
    <sheet name="NL15" sheetId="15" r:id="rId12"/>
    <sheet name="NL17" sheetId="17" r:id="rId13"/>
    <sheet name="NL23" sheetId="27" r:id="rId14"/>
    <sheet name="NL25" sheetId="26" r:id="rId15"/>
    <sheet name="NL30" sheetId="23" r:id="rId16"/>
    <sheet name="NL33" sheetId="25" r:id="rId17"/>
    <sheet name="NL40" sheetId="24" r:id="rId18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S12" i="5" l="1"/>
  <c r="BR12" i="5"/>
  <c r="BS11" i="5"/>
  <c r="BR11" i="5"/>
  <c r="BS10" i="5"/>
  <c r="BR10" i="5"/>
  <c r="BS9" i="5"/>
  <c r="BR9" i="5"/>
  <c r="BS8" i="5"/>
  <c r="BR8" i="5"/>
  <c r="BS7" i="5"/>
  <c r="BR7" i="5"/>
  <c r="BS6" i="5"/>
  <c r="BR6" i="5"/>
  <c r="BS23" i="5"/>
  <c r="BR23" i="5"/>
  <c r="BS22" i="5"/>
  <c r="BR22" i="5"/>
  <c r="BS21" i="5"/>
  <c r="BR21" i="5"/>
  <c r="BS20" i="5"/>
  <c r="BR20" i="5"/>
  <c r="BS19" i="5"/>
  <c r="BR19" i="5"/>
  <c r="BS18" i="5"/>
  <c r="BR18" i="5"/>
  <c r="BS17" i="5"/>
  <c r="BR17" i="5"/>
  <c r="BS34" i="5"/>
  <c r="BR34" i="5"/>
  <c r="BS33" i="5"/>
  <c r="BR33" i="5"/>
  <c r="BS32" i="5"/>
  <c r="BR32" i="5"/>
  <c r="BS31" i="5"/>
  <c r="BR31" i="5"/>
  <c r="BS30" i="5"/>
  <c r="BR30" i="5"/>
  <c r="BS29" i="5"/>
  <c r="BR29" i="5"/>
  <c r="BS28" i="5"/>
  <c r="BR28" i="5"/>
  <c r="BS45" i="5"/>
  <c r="BR45" i="5"/>
  <c r="BS44" i="5"/>
  <c r="BR44" i="5"/>
  <c r="BS43" i="5"/>
  <c r="BR43" i="5"/>
  <c r="BS42" i="5"/>
  <c r="BR42" i="5"/>
  <c r="BS41" i="5"/>
  <c r="BR41" i="5"/>
  <c r="BS40" i="5"/>
  <c r="BR40" i="5"/>
  <c r="BS39" i="5"/>
  <c r="BR39" i="5"/>
  <c r="BS56" i="5"/>
  <c r="BR56" i="5"/>
  <c r="BS55" i="5"/>
  <c r="BR55" i="5"/>
  <c r="BS54" i="5"/>
  <c r="BR54" i="5"/>
  <c r="BS53" i="5"/>
  <c r="BR53" i="5"/>
  <c r="BS52" i="5"/>
  <c r="BR52" i="5"/>
  <c r="BS51" i="5"/>
  <c r="BR51" i="5"/>
  <c r="BS50" i="5"/>
  <c r="BR50" i="5"/>
  <c r="BS67" i="5"/>
  <c r="BR67" i="5"/>
  <c r="BS66" i="5"/>
  <c r="BR66" i="5"/>
  <c r="BS65" i="5"/>
  <c r="BR65" i="5"/>
  <c r="BS64" i="5"/>
  <c r="BR64" i="5"/>
  <c r="BS63" i="5"/>
  <c r="BR63" i="5"/>
  <c r="BS62" i="5"/>
  <c r="BR62" i="5"/>
  <c r="BS61" i="5"/>
  <c r="BR61" i="5"/>
  <c r="BS78" i="5"/>
  <c r="BR78" i="5"/>
  <c r="BS77" i="5"/>
  <c r="BR77" i="5"/>
  <c r="BS76" i="5"/>
  <c r="BR76" i="5"/>
  <c r="BS75" i="5"/>
  <c r="BR75" i="5"/>
  <c r="BS74" i="5"/>
  <c r="BR74" i="5"/>
  <c r="BS73" i="5"/>
  <c r="BR73" i="5"/>
  <c r="BS72" i="5"/>
  <c r="BR72" i="5"/>
  <c r="BS89" i="5"/>
  <c r="BR89" i="5"/>
  <c r="BS88" i="5"/>
  <c r="BR88" i="5"/>
  <c r="BS87" i="5"/>
  <c r="BR87" i="5"/>
  <c r="BS86" i="5"/>
  <c r="BR86" i="5"/>
  <c r="BS85" i="5"/>
  <c r="BR85" i="5"/>
  <c r="BS84" i="5"/>
  <c r="BR84" i="5"/>
  <c r="BS83" i="5"/>
  <c r="BR83" i="5"/>
  <c r="BS109" i="5"/>
  <c r="BR109" i="5"/>
  <c r="BS108" i="5"/>
  <c r="BR108" i="5"/>
  <c r="BS107" i="5"/>
  <c r="BR107" i="5"/>
  <c r="BS106" i="5"/>
  <c r="BR106" i="5"/>
  <c r="BS105" i="5"/>
  <c r="BR105" i="5"/>
  <c r="BS111" i="5"/>
  <c r="BR111" i="5"/>
  <c r="BS110" i="5"/>
  <c r="BR110" i="5"/>
  <c r="BR98" i="5"/>
  <c r="BS97" i="5"/>
  <c r="BR97" i="5"/>
  <c r="BS96" i="5"/>
  <c r="BR96" i="5"/>
  <c r="BQ99" i="5"/>
  <c r="BP99" i="5"/>
  <c r="BO99" i="5"/>
  <c r="BN99" i="5"/>
  <c r="BM99" i="5"/>
  <c r="BL99" i="5"/>
  <c r="BK99" i="5"/>
  <c r="BJ99" i="5"/>
  <c r="BI99" i="5"/>
  <c r="BH99" i="5"/>
  <c r="BG99" i="5"/>
  <c r="BF99" i="5"/>
  <c r="BE99" i="5"/>
  <c r="BD99" i="5"/>
  <c r="BC99" i="5"/>
  <c r="BB99" i="5"/>
  <c r="BA99" i="5"/>
  <c r="AZ99" i="5"/>
  <c r="AY99" i="5"/>
  <c r="AX99" i="5"/>
  <c r="AW99" i="5"/>
  <c r="AV99" i="5"/>
  <c r="AU99" i="5"/>
  <c r="AT99" i="5"/>
  <c r="AS99" i="5"/>
  <c r="AR99" i="5"/>
  <c r="AQ99" i="5"/>
  <c r="AP99" i="5"/>
  <c r="AO99" i="5"/>
  <c r="AN99" i="5"/>
  <c r="AM99" i="5"/>
  <c r="AL99" i="5"/>
  <c r="AK99" i="5"/>
  <c r="AJ99" i="5"/>
  <c r="AI99" i="5"/>
  <c r="AH99" i="5"/>
  <c r="AG99" i="5"/>
  <c r="BS99" i="5" s="1"/>
  <c r="AF99" i="5"/>
  <c r="BR99" i="5" s="1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BQ98" i="5"/>
  <c r="BP98" i="5"/>
  <c r="BO98" i="5"/>
  <c r="BN98" i="5"/>
  <c r="BM98" i="5"/>
  <c r="BL98" i="5"/>
  <c r="BK98" i="5"/>
  <c r="BJ98" i="5"/>
  <c r="BI98" i="5"/>
  <c r="BH98" i="5"/>
  <c r="BG98" i="5"/>
  <c r="BF98" i="5"/>
  <c r="BE98" i="5"/>
  <c r="BD98" i="5"/>
  <c r="BC98" i="5"/>
  <c r="BB98" i="5"/>
  <c r="BA98" i="5"/>
  <c r="AZ98" i="5"/>
  <c r="AY98" i="5"/>
  <c r="AX98" i="5"/>
  <c r="AW98" i="5"/>
  <c r="AV98" i="5"/>
  <c r="AU98" i="5"/>
  <c r="AT98" i="5"/>
  <c r="AS98" i="5"/>
  <c r="AR98" i="5"/>
  <c r="AQ98" i="5"/>
  <c r="AP98" i="5"/>
  <c r="AO98" i="5"/>
  <c r="AN98" i="5"/>
  <c r="AM98" i="5"/>
  <c r="AL98" i="5"/>
  <c r="AK98" i="5"/>
  <c r="AJ98" i="5"/>
  <c r="AI98" i="5"/>
  <c r="AH98" i="5"/>
  <c r="AG98" i="5"/>
  <c r="BS98" i="5" s="1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B98" i="5"/>
  <c r="BQ97" i="5"/>
  <c r="BP97" i="5"/>
  <c r="BO97" i="5"/>
  <c r="BN97" i="5"/>
  <c r="BM97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B97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I95" i="5"/>
  <c r="AH95" i="5"/>
  <c r="AG95" i="5"/>
  <c r="AF95" i="5"/>
  <c r="BR95" i="5" s="1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BS89" i="4"/>
  <c r="BR89" i="4"/>
  <c r="BS88" i="4"/>
  <c r="BR88" i="4"/>
  <c r="BS80" i="4"/>
  <c r="BR80" i="4"/>
  <c r="BS79" i="4"/>
  <c r="BR79" i="4"/>
  <c r="BS71" i="4"/>
  <c r="BR71" i="4"/>
  <c r="BS70" i="4"/>
  <c r="BR70" i="4"/>
  <c r="BS62" i="4"/>
  <c r="BR62" i="4"/>
  <c r="BS61" i="4"/>
  <c r="BR61" i="4"/>
  <c r="BS53" i="4"/>
  <c r="BR53" i="4"/>
  <c r="BS52" i="4"/>
  <c r="BR52" i="4"/>
  <c r="BS44" i="4"/>
  <c r="BR44" i="4"/>
  <c r="BS43" i="4"/>
  <c r="BR43" i="4"/>
  <c r="BS35" i="4"/>
  <c r="BR35" i="4"/>
  <c r="BS34" i="4"/>
  <c r="BR34" i="4"/>
  <c r="BS26" i="4"/>
  <c r="BR26" i="4"/>
  <c r="BS25" i="4"/>
  <c r="BR25" i="4"/>
  <c r="BS17" i="4"/>
  <c r="BR17" i="4"/>
  <c r="BS16" i="4"/>
  <c r="BR16" i="4"/>
  <c r="BS8" i="4"/>
  <c r="BR8" i="4"/>
  <c r="BS7" i="4"/>
  <c r="BR7" i="4"/>
  <c r="BQ80" i="4"/>
  <c r="BP80" i="4"/>
  <c r="BO80" i="4"/>
  <c r="BN80" i="4"/>
  <c r="BM80" i="4"/>
  <c r="BL80" i="4"/>
  <c r="BK80" i="4"/>
  <c r="BJ80" i="4"/>
  <c r="BI80" i="4"/>
  <c r="BH80" i="4"/>
  <c r="BG80" i="4"/>
  <c r="BF80" i="4"/>
  <c r="BE80" i="4"/>
  <c r="BD80" i="4"/>
  <c r="BC80" i="4"/>
  <c r="BB80" i="4"/>
  <c r="BA80" i="4"/>
  <c r="AZ80" i="4"/>
  <c r="AY80" i="4"/>
  <c r="AX80" i="4"/>
  <c r="AW80" i="4"/>
  <c r="AV80" i="4"/>
  <c r="AU80" i="4"/>
  <c r="AT80" i="4"/>
  <c r="AS80" i="4"/>
  <c r="AR80" i="4"/>
  <c r="AQ80" i="4"/>
  <c r="AP80" i="4"/>
  <c r="AO80" i="4"/>
  <c r="AN80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BQ79" i="4"/>
  <c r="BP79" i="4"/>
  <c r="BO79" i="4"/>
  <c r="BN79" i="4"/>
  <c r="BM79" i="4"/>
  <c r="BL79" i="4"/>
  <c r="BK79" i="4"/>
  <c r="BJ79" i="4"/>
  <c r="BI79" i="4"/>
  <c r="BH79" i="4"/>
  <c r="BG79" i="4"/>
  <c r="BF79" i="4"/>
  <c r="BE79" i="4"/>
  <c r="BD79" i="4"/>
  <c r="BC79" i="4"/>
  <c r="BB79" i="4"/>
  <c r="BA79" i="4"/>
  <c r="AZ79" i="4"/>
  <c r="AY79" i="4"/>
  <c r="AX79" i="4"/>
  <c r="AW79" i="4"/>
  <c r="AV79" i="4"/>
  <c r="AU79" i="4"/>
  <c r="AT79" i="4"/>
  <c r="AS79" i="4"/>
  <c r="AR79" i="4"/>
  <c r="AQ79" i="4"/>
  <c r="AP79" i="4"/>
  <c r="AO79" i="4"/>
  <c r="AN79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BS95" i="5" l="1"/>
  <c r="AC77" i="5"/>
  <c r="AB77" i="5"/>
  <c r="AC76" i="5"/>
  <c r="AB76" i="5"/>
  <c r="AC33" i="5"/>
  <c r="AC32" i="5"/>
  <c r="AB33" i="5"/>
  <c r="AB32" i="5"/>
  <c r="AC22" i="5"/>
  <c r="AC21" i="5"/>
  <c r="AB22" i="5"/>
  <c r="AB21" i="5"/>
  <c r="BQ33" i="5" l="1"/>
  <c r="BP33" i="5"/>
  <c r="BP32" i="5"/>
  <c r="BP30" i="5"/>
  <c r="BP29" i="5"/>
  <c r="BQ22" i="5"/>
  <c r="BQ21" i="5"/>
  <c r="BP21" i="5"/>
  <c r="BQ19" i="5"/>
  <c r="BP19" i="5"/>
  <c r="BQ26" i="4"/>
  <c r="BP26" i="4"/>
  <c r="BQ17" i="4"/>
  <c r="BP17" i="4"/>
  <c r="AW33" i="5" l="1"/>
  <c r="AW32" i="5"/>
  <c r="AW30" i="5"/>
  <c r="AV32" i="5"/>
  <c r="AV30" i="5" l="1"/>
  <c r="AW26" i="4"/>
  <c r="AV26" i="4"/>
  <c r="AK33" i="5" l="1"/>
  <c r="AK32" i="5"/>
  <c r="AK30" i="5"/>
  <c r="AJ33" i="5"/>
  <c r="AJ32" i="5"/>
  <c r="AJ30" i="5"/>
  <c r="AK26" i="4"/>
  <c r="AJ26" i="4"/>
  <c r="AC62" i="4" l="1"/>
  <c r="AB62" i="4"/>
  <c r="AC61" i="4"/>
  <c r="AC26" i="4"/>
  <c r="AB26" i="4"/>
  <c r="AC17" i="4"/>
  <c r="AB17" i="4"/>
  <c r="Y33" i="5" l="1"/>
  <c r="X33" i="5"/>
  <c r="Y32" i="5"/>
  <c r="X32" i="5"/>
  <c r="Y30" i="5"/>
  <c r="X30" i="5"/>
  <c r="Y26" i="4"/>
  <c r="X26" i="4"/>
  <c r="AQ23" i="7" l="1"/>
  <c r="AP23" i="7"/>
  <c r="V14" i="10" l="1"/>
  <c r="V16" i="15" l="1"/>
  <c r="V15" i="17" l="1"/>
  <c r="O23" i="7"/>
  <c r="N23" i="7"/>
  <c r="H8" i="3"/>
  <c r="O21" i="2"/>
  <c r="N21" i="2"/>
  <c r="O16" i="2"/>
  <c r="N16" i="2"/>
  <c r="AB15" i="17" l="1"/>
  <c r="AB112" i="12"/>
  <c r="AB95" i="12"/>
  <c r="BC21" i="2"/>
  <c r="BB21" i="2"/>
  <c r="Z11" i="17" l="1"/>
  <c r="Z15" i="17" s="1"/>
  <c r="Z76" i="12"/>
  <c r="Z59" i="12"/>
  <c r="Z38" i="12"/>
  <c r="Z20" i="12"/>
  <c r="AY23" i="7"/>
  <c r="AX23" i="7"/>
  <c r="AY57" i="6"/>
  <c r="AY56" i="6"/>
  <c r="AY54" i="6"/>
  <c r="AX57" i="6"/>
  <c r="AX56" i="6"/>
  <c r="AX54" i="6"/>
  <c r="AY78" i="5"/>
  <c r="AX78" i="5"/>
  <c r="AY72" i="5"/>
  <c r="AX72" i="5"/>
  <c r="AY64" i="4"/>
  <c r="AX64" i="4"/>
  <c r="AY63" i="4"/>
  <c r="AX63" i="4"/>
  <c r="AY60" i="4"/>
  <c r="AX60" i="4"/>
  <c r="Z12" i="3"/>
  <c r="Z8" i="3"/>
  <c r="AY15" i="2"/>
  <c r="AY21" i="2"/>
  <c r="AX21" i="2"/>
  <c r="AX15" i="2"/>
  <c r="AY12" i="1"/>
  <c r="AY11" i="1"/>
  <c r="AY10" i="1"/>
  <c r="AY7" i="1"/>
  <c r="AY8" i="1"/>
  <c r="AY6" i="1"/>
  <c r="AY5" i="1"/>
  <c r="AX12" i="1"/>
  <c r="AX11" i="1"/>
  <c r="AX10" i="1"/>
  <c r="AX7" i="1"/>
  <c r="AX8" i="1"/>
  <c r="AX6" i="1"/>
  <c r="AX5" i="1"/>
  <c r="AY9" i="1" l="1"/>
  <c r="AY18" i="1"/>
  <c r="AX18" i="1"/>
  <c r="AX9" i="1"/>
  <c r="AY19" i="1" l="1"/>
  <c r="AX19" i="1"/>
  <c r="K15" i="17"/>
  <c r="K34" i="12"/>
  <c r="U23" i="7"/>
  <c r="T23" i="7"/>
  <c r="T21" i="2"/>
  <c r="U21" i="2"/>
  <c r="U7" i="1"/>
  <c r="T7" i="1"/>
  <c r="L15" i="17"/>
  <c r="L7" i="15"/>
  <c r="L70" i="12"/>
  <c r="L63" i="12"/>
  <c r="L52" i="12"/>
  <c r="L45" i="12"/>
  <c r="L32" i="12"/>
  <c r="L24" i="12"/>
  <c r="L13" i="12"/>
  <c r="L6" i="12"/>
  <c r="W27" i="2"/>
  <c r="V27" i="2"/>
  <c r="W21" i="2"/>
  <c r="V21" i="2"/>
  <c r="W15" i="2"/>
  <c r="V15" i="2"/>
  <c r="W17" i="1"/>
  <c r="V17" i="1"/>
  <c r="W6" i="1"/>
  <c r="W7" i="1" s="1"/>
  <c r="V6" i="1"/>
  <c r="V7" i="1" s="1"/>
  <c r="AF15" i="17"/>
  <c r="BK23" i="7"/>
  <c r="BJ23" i="7"/>
  <c r="BK21" i="2"/>
  <c r="BJ21" i="2"/>
  <c r="X7" i="10"/>
  <c r="AU23" i="7"/>
  <c r="AT23" i="7"/>
  <c r="AU21" i="2" l="1"/>
  <c r="AT21" i="2"/>
  <c r="U15" i="17"/>
  <c r="U11" i="14"/>
  <c r="AO23" i="7"/>
  <c r="AN23" i="7"/>
  <c r="U8" i="3"/>
  <c r="AO21" i="2"/>
  <c r="AN21" i="2"/>
  <c r="AN15" i="2"/>
  <c r="AO15" i="2"/>
  <c r="AK28" i="4"/>
  <c r="AK27" i="4"/>
  <c r="AK24" i="4"/>
  <c r="AJ28" i="4"/>
  <c r="AJ27" i="4"/>
  <c r="AJ24" i="4"/>
  <c r="AJ5" i="1"/>
  <c r="AJ6" i="1"/>
  <c r="AJ8" i="1"/>
  <c r="AJ9" i="1"/>
  <c r="AJ10" i="1"/>
  <c r="AJ11" i="1"/>
  <c r="AJ12" i="1"/>
  <c r="AJ18" i="1"/>
  <c r="AJ19" i="1"/>
  <c r="AK19" i="1"/>
  <c r="AK18" i="1"/>
  <c r="AK12" i="1"/>
  <c r="AK11" i="1"/>
  <c r="AK10" i="1"/>
  <c r="AK9" i="1"/>
  <c r="AK8" i="1"/>
  <c r="AK6" i="1"/>
  <c r="AK5" i="1"/>
  <c r="AK34" i="5"/>
  <c r="AK28" i="5"/>
  <c r="AJ34" i="5"/>
  <c r="AJ28" i="5"/>
  <c r="AK25" i="6"/>
  <c r="AK24" i="6"/>
  <c r="AK22" i="6"/>
  <c r="AJ25" i="6"/>
  <c r="AJ24" i="6"/>
  <c r="AJ22" i="6"/>
  <c r="AK23" i="7"/>
  <c r="AJ23" i="7"/>
  <c r="S15" i="17"/>
  <c r="CW12" i="24"/>
  <c r="CV12" i="24"/>
  <c r="CU12" i="24"/>
  <c r="CT12" i="24"/>
  <c r="M17" i="1" l="1"/>
  <c r="L17" i="1"/>
  <c r="M7" i="1"/>
  <c r="L7" i="1"/>
  <c r="M21" i="2"/>
  <c r="L21" i="2"/>
  <c r="G8" i="3"/>
  <c r="M23" i="7"/>
  <c r="L23" i="7"/>
  <c r="G76" i="12"/>
  <c r="G59" i="12"/>
  <c r="G38" i="12"/>
  <c r="G20" i="12"/>
  <c r="G11" i="17"/>
  <c r="G13" i="17"/>
  <c r="G15" i="17" s="1"/>
  <c r="O15" i="17"/>
  <c r="O59" i="12"/>
  <c r="O20" i="12"/>
  <c r="AC23" i="7"/>
  <c r="AB23" i="7"/>
  <c r="AC57" i="6" l="1"/>
  <c r="AC56" i="6"/>
  <c r="AC55" i="6"/>
  <c r="AC54" i="6"/>
  <c r="AB57" i="6"/>
  <c r="AB56" i="6"/>
  <c r="AB54" i="6"/>
  <c r="AC25" i="6"/>
  <c r="AB25" i="6"/>
  <c r="AC24" i="6"/>
  <c r="AB24" i="6"/>
  <c r="AC22" i="6"/>
  <c r="AB22" i="6"/>
  <c r="AC17" i="6"/>
  <c r="AB17" i="6"/>
  <c r="AC16" i="6"/>
  <c r="AB16" i="6"/>
  <c r="AC14" i="6"/>
  <c r="AB14" i="6"/>
  <c r="AC78" i="5"/>
  <c r="AB78" i="5"/>
  <c r="AC72" i="5"/>
  <c r="AB72" i="5"/>
  <c r="AC34" i="5"/>
  <c r="AC28" i="5"/>
  <c r="AB34" i="5"/>
  <c r="AB28" i="5"/>
  <c r="AC23" i="5"/>
  <c r="AB23" i="5"/>
  <c r="AC17" i="5"/>
  <c r="AB17" i="5"/>
  <c r="AC60" i="4"/>
  <c r="AB60" i="4"/>
  <c r="AC24" i="4"/>
  <c r="AB24" i="4"/>
  <c r="AC15" i="4"/>
  <c r="AB15" i="4"/>
  <c r="AC64" i="4"/>
  <c r="AC63" i="4"/>
  <c r="AB64" i="4"/>
  <c r="AB63" i="4"/>
  <c r="AC28" i="4"/>
  <c r="AC27" i="4"/>
  <c r="AB28" i="4"/>
  <c r="AB27" i="4"/>
  <c r="AC19" i="4"/>
  <c r="AC18" i="4"/>
  <c r="AB19" i="4"/>
  <c r="AB18" i="4"/>
  <c r="O8" i="3"/>
  <c r="AC21" i="2"/>
  <c r="AB21" i="2"/>
  <c r="AC7" i="1"/>
  <c r="AB7" i="1"/>
  <c r="AM14" i="26" l="1"/>
  <c r="N15" i="17"/>
  <c r="AA23" i="7"/>
  <c r="Z23" i="7"/>
  <c r="AU19" i="1" l="1"/>
  <c r="AT19" i="1"/>
  <c r="AU18" i="1"/>
  <c r="AT18" i="1"/>
  <c r="AU12" i="1"/>
  <c r="AT12" i="1"/>
  <c r="AU11" i="1"/>
  <c r="AT11" i="1"/>
  <c r="AU10" i="1"/>
  <c r="AT10" i="1"/>
  <c r="AU9" i="1"/>
  <c r="AT9" i="1"/>
  <c r="AU8" i="1"/>
  <c r="AT8" i="1"/>
  <c r="AU7" i="1"/>
  <c r="AT7" i="1"/>
  <c r="AU6" i="1"/>
  <c r="AT6" i="1"/>
  <c r="AU5" i="1"/>
  <c r="AT5" i="1"/>
  <c r="BS13" i="1"/>
  <c r="BR13" i="1"/>
  <c r="AA6" i="1" l="1"/>
  <c r="X10" i="13"/>
  <c r="X15" i="17"/>
  <c r="BO23" i="7" l="1"/>
  <c r="BS22" i="7" s="1"/>
  <c r="BN23" i="7"/>
  <c r="BR22" i="7" s="1"/>
  <c r="K23" i="7" l="1"/>
  <c r="J23" i="7"/>
  <c r="EK15" i="24" l="1"/>
  <c r="EJ15" i="24"/>
  <c r="EI15" i="24"/>
  <c r="EH15" i="24"/>
  <c r="EK14" i="24"/>
  <c r="EJ14" i="24"/>
  <c r="EI14" i="24"/>
  <c r="EH14" i="24"/>
  <c r="EK13" i="24"/>
  <c r="EJ13" i="24"/>
  <c r="EI13" i="24"/>
  <c r="EH13" i="24"/>
  <c r="BQ12" i="24"/>
  <c r="EK12" i="24" s="1"/>
  <c r="BP12" i="24"/>
  <c r="EJ12" i="24" s="1"/>
  <c r="BO12" i="24"/>
  <c r="EI12" i="24" s="1"/>
  <c r="BN12" i="24"/>
  <c r="EH12" i="24" s="1"/>
  <c r="BI11" i="24"/>
  <c r="BH11" i="24"/>
  <c r="BG11" i="24"/>
  <c r="BF11" i="24"/>
  <c r="AK11" i="24"/>
  <c r="EK11" i="24" s="1"/>
  <c r="AJ11" i="24"/>
  <c r="EJ11" i="24" s="1"/>
  <c r="AI11" i="24"/>
  <c r="EI11" i="24" s="1"/>
  <c r="AH11" i="24"/>
  <c r="EH11" i="24" s="1"/>
  <c r="EK10" i="24"/>
  <c r="EJ10" i="24"/>
  <c r="EI10" i="24"/>
  <c r="EH10" i="24"/>
  <c r="EK9" i="24"/>
  <c r="EJ9" i="24"/>
  <c r="EI9" i="24"/>
  <c r="EH9" i="24"/>
  <c r="EK8" i="24"/>
  <c r="EJ8" i="24"/>
  <c r="EI8" i="24"/>
  <c r="EH8" i="24"/>
  <c r="EK7" i="24"/>
  <c r="EJ7" i="24"/>
  <c r="EI7" i="24"/>
  <c r="EH7" i="24"/>
  <c r="EK6" i="24"/>
  <c r="EJ6" i="24"/>
  <c r="EI6" i="24"/>
  <c r="EH6" i="24"/>
  <c r="CI15" i="26"/>
  <c r="CX14" i="26"/>
  <c r="CR14" i="26"/>
  <c r="CO14" i="26"/>
  <c r="CL14" i="26"/>
  <c r="CI14" i="26"/>
  <c r="CF14" i="26"/>
  <c r="BZ14" i="26"/>
  <c r="BW14" i="26"/>
  <c r="BT14" i="26"/>
  <c r="BQ14" i="26"/>
  <c r="BN14" i="26"/>
  <c r="BK14" i="26"/>
  <c r="BH14" i="26"/>
  <c r="BE14" i="26"/>
  <c r="BB14" i="26"/>
  <c r="AY14" i="26"/>
  <c r="AV14" i="26"/>
  <c r="AS14" i="26"/>
  <c r="AP14" i="26"/>
  <c r="AJ14" i="26"/>
  <c r="AG14" i="26"/>
  <c r="X14" i="26"/>
  <c r="U14" i="26"/>
  <c r="R14" i="26"/>
  <c r="O14" i="26"/>
  <c r="L14" i="26"/>
  <c r="I14" i="26"/>
  <c r="F14" i="26"/>
  <c r="CX13" i="26"/>
  <c r="CR13" i="26"/>
  <c r="CO13" i="26"/>
  <c r="CL13" i="26"/>
  <c r="CI13" i="26"/>
  <c r="CF13" i="26"/>
  <c r="CC13" i="26"/>
  <c r="BZ13" i="26"/>
  <c r="BW13" i="26"/>
  <c r="BT13" i="26"/>
  <c r="BQ13" i="26"/>
  <c r="BN13" i="26"/>
  <c r="BK13" i="26"/>
  <c r="BH13" i="26"/>
  <c r="BE13" i="26"/>
  <c r="BB13" i="26"/>
  <c r="AY13" i="26"/>
  <c r="AV13" i="26"/>
  <c r="AS13" i="26"/>
  <c r="AP13" i="26"/>
  <c r="AM13" i="26"/>
  <c r="AJ13" i="26"/>
  <c r="AG13" i="26"/>
  <c r="X13" i="26"/>
  <c r="U13" i="26"/>
  <c r="R13" i="26"/>
  <c r="O13" i="26"/>
  <c r="L13" i="26"/>
  <c r="I13" i="26"/>
  <c r="F13" i="26"/>
  <c r="C13" i="26"/>
  <c r="CX12" i="26"/>
  <c r="CR12" i="26"/>
  <c r="CO12" i="26"/>
  <c r="CL12" i="26"/>
  <c r="CI12" i="26"/>
  <c r="CF12" i="26"/>
  <c r="CC12" i="26"/>
  <c r="BZ12" i="26"/>
  <c r="BW12" i="26"/>
  <c r="BT12" i="26"/>
  <c r="BQ12" i="26"/>
  <c r="BN12" i="26"/>
  <c r="BK12" i="26"/>
  <c r="BH12" i="26"/>
  <c r="BE12" i="26"/>
  <c r="BB12" i="26"/>
  <c r="AY12" i="26"/>
  <c r="AV12" i="26"/>
  <c r="AS12" i="26"/>
  <c r="AP12" i="26"/>
  <c r="AM12" i="26"/>
  <c r="AJ12" i="26"/>
  <c r="AG12" i="26"/>
  <c r="AA12" i="26"/>
  <c r="X12" i="26"/>
  <c r="U12" i="26"/>
  <c r="R12" i="26"/>
  <c r="O12" i="26"/>
  <c r="L12" i="26"/>
  <c r="I12" i="26"/>
  <c r="F12" i="26"/>
  <c r="C12" i="26"/>
  <c r="CX11" i="26"/>
  <c r="CR11" i="26"/>
  <c r="CO11" i="26"/>
  <c r="CL11" i="26"/>
  <c r="CI11" i="26"/>
  <c r="CF11" i="26"/>
  <c r="CC11" i="26"/>
  <c r="BZ11" i="26"/>
  <c r="BW11" i="26"/>
  <c r="BT11" i="26"/>
  <c r="BQ11" i="26"/>
  <c r="BN11" i="26"/>
  <c r="BK11" i="26"/>
  <c r="BH11" i="26"/>
  <c r="BE11" i="26"/>
  <c r="BB11" i="26"/>
  <c r="AY11" i="26"/>
  <c r="AV11" i="26"/>
  <c r="AS11" i="26"/>
  <c r="AP11" i="26"/>
  <c r="AM11" i="26"/>
  <c r="AJ11" i="26"/>
  <c r="AG11" i="26"/>
  <c r="AD11" i="26"/>
  <c r="AA11" i="26"/>
  <c r="X11" i="26"/>
  <c r="U11" i="26"/>
  <c r="R11" i="26"/>
  <c r="O11" i="26"/>
  <c r="L11" i="26"/>
  <c r="I11" i="26"/>
  <c r="F11" i="26"/>
  <c r="C11" i="26"/>
  <c r="CX10" i="26"/>
  <c r="CR10" i="26"/>
  <c r="CO10" i="26"/>
  <c r="CL10" i="26"/>
  <c r="CI10" i="26"/>
  <c r="CF10" i="26"/>
  <c r="CC10" i="26"/>
  <c r="BZ10" i="26"/>
  <c r="BW10" i="26"/>
  <c r="BT10" i="26"/>
  <c r="BQ10" i="26"/>
  <c r="BN10" i="26"/>
  <c r="BK10" i="26"/>
  <c r="BH10" i="26"/>
  <c r="BE10" i="26"/>
  <c r="BB10" i="26"/>
  <c r="AY10" i="26"/>
  <c r="AV10" i="26"/>
  <c r="AS10" i="26"/>
  <c r="AP10" i="26"/>
  <c r="AM10" i="26"/>
  <c r="AJ10" i="26"/>
  <c r="AG10" i="26"/>
  <c r="AD10" i="26"/>
  <c r="AA10" i="26"/>
  <c r="X10" i="26"/>
  <c r="U10" i="26"/>
  <c r="R10" i="26"/>
  <c r="O10" i="26"/>
  <c r="L10" i="26"/>
  <c r="I10" i="26"/>
  <c r="F10" i="26"/>
  <c r="C10" i="26"/>
  <c r="CX9" i="26"/>
  <c r="CR9" i="26"/>
  <c r="CO9" i="26"/>
  <c r="CL9" i="26"/>
  <c r="CI9" i="26"/>
  <c r="CF9" i="26"/>
  <c r="BZ9" i="26"/>
  <c r="BW9" i="26"/>
  <c r="BT9" i="26"/>
  <c r="BE9" i="26"/>
  <c r="BB9" i="26"/>
  <c r="AY9" i="26"/>
  <c r="AV9" i="26"/>
  <c r="AS9" i="26"/>
  <c r="AP9" i="26"/>
  <c r="AM9" i="26"/>
  <c r="AJ9" i="26"/>
  <c r="AG9" i="26"/>
  <c r="AA9" i="26"/>
  <c r="U9" i="26"/>
  <c r="R9" i="26"/>
  <c r="O9" i="26"/>
  <c r="I9" i="26"/>
  <c r="F9" i="26"/>
  <c r="C9" i="26"/>
  <c r="CR8" i="26"/>
  <c r="CO8" i="26"/>
  <c r="CL8" i="26"/>
  <c r="CI8" i="26"/>
  <c r="CF8" i="26"/>
  <c r="CC8" i="26"/>
  <c r="BZ8" i="26"/>
  <c r="BW8" i="26"/>
  <c r="BQ8" i="26"/>
  <c r="BN8" i="26"/>
  <c r="BK8" i="26"/>
  <c r="BH8" i="26"/>
  <c r="BE8" i="26"/>
  <c r="BB8" i="26"/>
  <c r="AY8" i="26"/>
  <c r="AV8" i="26"/>
  <c r="AS8" i="26"/>
  <c r="AP8" i="26"/>
  <c r="AM8" i="26"/>
  <c r="AJ8" i="26"/>
  <c r="AG8" i="26"/>
  <c r="AD8" i="26"/>
  <c r="X8" i="26"/>
  <c r="U8" i="26"/>
  <c r="R8" i="26"/>
  <c r="O8" i="26"/>
  <c r="L8" i="26"/>
  <c r="I8" i="26"/>
  <c r="F8" i="26"/>
  <c r="C8" i="26"/>
  <c r="CX7" i="26"/>
  <c r="CR7" i="26"/>
  <c r="CO7" i="26"/>
  <c r="CL7" i="26"/>
  <c r="CI7" i="26"/>
  <c r="CF7" i="26"/>
  <c r="CC7" i="26"/>
  <c r="BZ7" i="26"/>
  <c r="BW7" i="26"/>
  <c r="BT7" i="26"/>
  <c r="BQ7" i="26"/>
  <c r="BN7" i="26"/>
  <c r="BK7" i="26"/>
  <c r="BH7" i="26"/>
  <c r="BE7" i="26"/>
  <c r="BB7" i="26"/>
  <c r="AY7" i="26"/>
  <c r="AV7" i="26"/>
  <c r="AS7" i="26"/>
  <c r="AP7" i="26"/>
  <c r="AM7" i="26"/>
  <c r="AJ7" i="26"/>
  <c r="AG7" i="26"/>
  <c r="AD7" i="26"/>
  <c r="AA7" i="26"/>
  <c r="X7" i="26"/>
  <c r="U7" i="26"/>
  <c r="R7" i="26"/>
  <c r="O7" i="26"/>
  <c r="L7" i="26"/>
  <c r="I7" i="26"/>
  <c r="F7" i="26"/>
  <c r="C7" i="26"/>
  <c r="CX6" i="26"/>
  <c r="CR6" i="26"/>
  <c r="CO6" i="26"/>
  <c r="CL6" i="26"/>
  <c r="CI6" i="26"/>
  <c r="CF6" i="26"/>
  <c r="CC6" i="26"/>
  <c r="BZ6" i="26"/>
  <c r="BW6" i="26"/>
  <c r="BT6" i="26"/>
  <c r="BQ6" i="26"/>
  <c r="BN6" i="26"/>
  <c r="BK6" i="26"/>
  <c r="BH6" i="26"/>
  <c r="BE6" i="26"/>
  <c r="BB6" i="26"/>
  <c r="AY6" i="26"/>
  <c r="AV6" i="26"/>
  <c r="AS6" i="26"/>
  <c r="AP6" i="26"/>
  <c r="AM6" i="26"/>
  <c r="AJ6" i="26"/>
  <c r="AG6" i="26"/>
  <c r="AD6" i="26"/>
  <c r="AA6" i="26"/>
  <c r="X6" i="26"/>
  <c r="U6" i="26"/>
  <c r="R6" i="26"/>
  <c r="O6" i="26"/>
  <c r="L6" i="26"/>
  <c r="I6" i="26"/>
  <c r="F6" i="26"/>
  <c r="C6" i="26"/>
  <c r="CX5" i="26"/>
  <c r="CR5" i="26"/>
  <c r="CO5" i="26"/>
  <c r="CL5" i="26"/>
  <c r="CI5" i="26"/>
  <c r="CF5" i="26"/>
  <c r="CC5" i="26"/>
  <c r="BZ5" i="26"/>
  <c r="BW5" i="26"/>
  <c r="BT5" i="26"/>
  <c r="BQ5" i="26"/>
  <c r="BN5" i="26"/>
  <c r="BK5" i="26"/>
  <c r="BH5" i="26"/>
  <c r="BE5" i="26"/>
  <c r="BB5" i="26"/>
  <c r="AY5" i="26"/>
  <c r="AV5" i="26"/>
  <c r="AS5" i="26"/>
  <c r="AP5" i="26"/>
  <c r="AM5" i="26"/>
  <c r="AJ5" i="26"/>
  <c r="AG5" i="26"/>
  <c r="AD5" i="26"/>
  <c r="AA5" i="26"/>
  <c r="X5" i="26"/>
  <c r="U5" i="26"/>
  <c r="R5" i="26"/>
  <c r="O5" i="26"/>
  <c r="L5" i="26"/>
  <c r="I5" i="26"/>
  <c r="F5" i="26"/>
  <c r="C5" i="26"/>
  <c r="DK10" i="27"/>
  <c r="DJ10" i="27"/>
  <c r="DI10" i="27"/>
  <c r="AJ16" i="17"/>
  <c r="AI15" i="17"/>
  <c r="AC15" i="17"/>
  <c r="AA15" i="17"/>
  <c r="Y15" i="17"/>
  <c r="R15" i="17"/>
  <c r="Q15" i="17"/>
  <c r="P15" i="17"/>
  <c r="F15" i="17"/>
  <c r="D15" i="17"/>
  <c r="C15" i="17"/>
  <c r="B15" i="17"/>
  <c r="AJ14" i="17"/>
  <c r="AD13" i="17"/>
  <c r="AD15" i="17" s="1"/>
  <c r="Q13" i="17"/>
  <c r="I13" i="17"/>
  <c r="I15" i="17" s="1"/>
  <c r="AJ12" i="17"/>
  <c r="AJ11" i="17"/>
  <c r="AJ10" i="17"/>
  <c r="H9" i="17"/>
  <c r="H15" i="17" s="1"/>
  <c r="AJ8" i="17"/>
  <c r="AJ7" i="17"/>
  <c r="AJ6" i="17"/>
  <c r="AJ5" i="17"/>
  <c r="AJ4" i="17"/>
  <c r="AJ16" i="15"/>
  <c r="AJ15" i="15"/>
  <c r="AJ14" i="15"/>
  <c r="AJ13" i="15"/>
  <c r="AJ12" i="15"/>
  <c r="AJ11" i="15"/>
  <c r="AJ10" i="15"/>
  <c r="AJ9" i="15"/>
  <c r="AJ8" i="15"/>
  <c r="AJ7" i="15"/>
  <c r="AJ6" i="15"/>
  <c r="AJ5" i="15"/>
  <c r="AJ4" i="15"/>
  <c r="AJ19" i="14"/>
  <c r="AJ18" i="14"/>
  <c r="AJ17" i="14"/>
  <c r="AJ16" i="14"/>
  <c r="AJ15" i="14"/>
  <c r="AJ14" i="14"/>
  <c r="AJ13" i="14"/>
  <c r="AJ12" i="14"/>
  <c r="AC11" i="14"/>
  <c r="H11" i="14"/>
  <c r="AJ10" i="14"/>
  <c r="AJ9" i="14"/>
  <c r="AJ8" i="14"/>
  <c r="AJ7" i="14"/>
  <c r="AJ6" i="14"/>
  <c r="AJ5" i="14"/>
  <c r="AJ4" i="14"/>
  <c r="AJ32" i="13"/>
  <c r="AJ31" i="13"/>
  <c r="AJ30" i="13"/>
  <c r="AJ28" i="13"/>
  <c r="AJ27" i="13"/>
  <c r="AJ26" i="13"/>
  <c r="AJ25" i="13"/>
  <c r="AJ24" i="13"/>
  <c r="AJ23" i="13"/>
  <c r="AJ22" i="13"/>
  <c r="AJ21" i="13"/>
  <c r="AJ19" i="13"/>
  <c r="AJ18" i="13"/>
  <c r="AJ17" i="13"/>
  <c r="AJ16" i="13"/>
  <c r="AJ15" i="13"/>
  <c r="AJ14" i="13"/>
  <c r="AJ12" i="13"/>
  <c r="AJ11" i="13"/>
  <c r="AJ10" i="13"/>
  <c r="AJ9" i="13"/>
  <c r="AJ8" i="13"/>
  <c r="AJ7" i="13"/>
  <c r="AJ6" i="13"/>
  <c r="AJ5" i="13"/>
  <c r="Q76" i="12"/>
  <c r="AD75" i="12"/>
  <c r="AD72" i="12"/>
  <c r="M72" i="12"/>
  <c r="AD70" i="12"/>
  <c r="Q59" i="12"/>
  <c r="H59" i="12"/>
  <c r="AD58" i="12"/>
  <c r="C58" i="12"/>
  <c r="Q38" i="12"/>
  <c r="Q20" i="12"/>
  <c r="H20" i="12"/>
  <c r="C19" i="12"/>
  <c r="AJ16" i="10"/>
  <c r="AJ15" i="10"/>
  <c r="AJ14" i="10"/>
  <c r="AJ13" i="10"/>
  <c r="AJ12" i="10"/>
  <c r="AJ11" i="10"/>
  <c r="AJ10" i="10"/>
  <c r="AJ9" i="10"/>
  <c r="AJ8" i="10"/>
  <c r="AJ7" i="10"/>
  <c r="AJ6" i="10"/>
  <c r="AJ5" i="10"/>
  <c r="AJ4" i="10"/>
  <c r="BS26" i="7"/>
  <c r="BR26" i="7"/>
  <c r="BS25" i="7"/>
  <c r="BR25" i="7"/>
  <c r="BS24" i="7"/>
  <c r="BR24" i="7"/>
  <c r="BQ23" i="7"/>
  <c r="BP23" i="7"/>
  <c r="BM23" i="7"/>
  <c r="BL23" i="7"/>
  <c r="BI23" i="7"/>
  <c r="BH23" i="7"/>
  <c r="BG23" i="7"/>
  <c r="BF23" i="7"/>
  <c r="BE23" i="7"/>
  <c r="BD23" i="7"/>
  <c r="BA23" i="7"/>
  <c r="AZ23" i="7"/>
  <c r="AW23" i="7"/>
  <c r="AV23" i="7"/>
  <c r="AM23" i="7"/>
  <c r="AL23" i="7"/>
  <c r="AG23" i="7"/>
  <c r="AF23" i="7"/>
  <c r="Y23" i="7"/>
  <c r="X23" i="7"/>
  <c r="I23" i="7"/>
  <c r="H23" i="7"/>
  <c r="G23" i="7"/>
  <c r="F23" i="7"/>
  <c r="E23" i="7"/>
  <c r="D23" i="7"/>
  <c r="C23" i="7"/>
  <c r="B23" i="7"/>
  <c r="BS21" i="7"/>
  <c r="BR21" i="7"/>
  <c r="BS20" i="7"/>
  <c r="BR20" i="7"/>
  <c r="BS19" i="7"/>
  <c r="BR19" i="7"/>
  <c r="BI19" i="7"/>
  <c r="BS18" i="7"/>
  <c r="BR18" i="7"/>
  <c r="BS17" i="7"/>
  <c r="BR17" i="7"/>
  <c r="BS16" i="7"/>
  <c r="BR16" i="7"/>
  <c r="BS15" i="7"/>
  <c r="BR15" i="7"/>
  <c r="BS14" i="7"/>
  <c r="BR14" i="7"/>
  <c r="BS13" i="7"/>
  <c r="BR13" i="7"/>
  <c r="BS12" i="7"/>
  <c r="BR12" i="7"/>
  <c r="BS11" i="7"/>
  <c r="BR11" i="7"/>
  <c r="BS10" i="7"/>
  <c r="BR10" i="7"/>
  <c r="BS9" i="7"/>
  <c r="BR9" i="7"/>
  <c r="BS8" i="7"/>
  <c r="BR8" i="7"/>
  <c r="BS7" i="7"/>
  <c r="BR7" i="7"/>
  <c r="BS6" i="7"/>
  <c r="BR6" i="7"/>
  <c r="BS5" i="7"/>
  <c r="BR5" i="7"/>
  <c r="BS81" i="6"/>
  <c r="BR81" i="6"/>
  <c r="BS80" i="6"/>
  <c r="BR80" i="6"/>
  <c r="BS79" i="6"/>
  <c r="BR79" i="6"/>
  <c r="BS78" i="6"/>
  <c r="BR78" i="6"/>
  <c r="BQ73" i="6"/>
  <c r="BP73" i="6"/>
  <c r="BO73" i="6"/>
  <c r="BN73" i="6"/>
  <c r="BM73" i="6"/>
  <c r="BL73" i="6"/>
  <c r="BK73" i="6"/>
  <c r="BJ73" i="6"/>
  <c r="BI73" i="6"/>
  <c r="BH73" i="6"/>
  <c r="BG73" i="6"/>
  <c r="BF73" i="6"/>
  <c r="BE73" i="6"/>
  <c r="BD73" i="6"/>
  <c r="BC73" i="6"/>
  <c r="BB73" i="6"/>
  <c r="AY73" i="6"/>
  <c r="AX73" i="6"/>
  <c r="AW73" i="6"/>
  <c r="AV73" i="6"/>
  <c r="AU73" i="6"/>
  <c r="AT73" i="6"/>
  <c r="AS73" i="6"/>
  <c r="AR73" i="6"/>
  <c r="AQ73" i="6"/>
  <c r="AP73" i="6"/>
  <c r="AO73" i="6"/>
  <c r="AN73" i="6"/>
  <c r="AM73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C73" i="6"/>
  <c r="B73" i="6"/>
  <c r="BQ72" i="6"/>
  <c r="BP72" i="6"/>
  <c r="BO72" i="6"/>
  <c r="BN72" i="6"/>
  <c r="BM72" i="6"/>
  <c r="BL72" i="6"/>
  <c r="BK72" i="6"/>
  <c r="BJ72" i="6"/>
  <c r="BI72" i="6"/>
  <c r="BH72" i="6"/>
  <c r="BG72" i="6"/>
  <c r="BF72" i="6"/>
  <c r="BE72" i="6"/>
  <c r="BD72" i="6"/>
  <c r="BC72" i="6"/>
  <c r="BB72" i="6"/>
  <c r="AY72" i="6"/>
  <c r="AX72" i="6"/>
  <c r="AW72" i="6"/>
  <c r="AV72" i="6"/>
  <c r="AU72" i="6"/>
  <c r="AT72" i="6"/>
  <c r="AS72" i="6"/>
  <c r="AR72" i="6"/>
  <c r="AQ72" i="6"/>
  <c r="AP72" i="6"/>
  <c r="AO72" i="6"/>
  <c r="AN72" i="6"/>
  <c r="AM72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C72" i="6"/>
  <c r="B72" i="6"/>
  <c r="BQ71" i="6"/>
  <c r="BP71" i="6"/>
  <c r="BO71" i="6"/>
  <c r="BN71" i="6"/>
  <c r="BM71" i="6"/>
  <c r="BL71" i="6"/>
  <c r="BK71" i="6"/>
  <c r="BJ71" i="6"/>
  <c r="BI71" i="6"/>
  <c r="BH71" i="6"/>
  <c r="BG71" i="6"/>
  <c r="BF71" i="6"/>
  <c r="BE71" i="6"/>
  <c r="BD71" i="6"/>
  <c r="BC71" i="6"/>
  <c r="BB71" i="6"/>
  <c r="AY71" i="6"/>
  <c r="AX71" i="6"/>
  <c r="AW71" i="6"/>
  <c r="AV71" i="6"/>
  <c r="AU71" i="6"/>
  <c r="AT71" i="6"/>
  <c r="AS71" i="6"/>
  <c r="AR71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C71" i="6"/>
  <c r="B71" i="6"/>
  <c r="BQ70" i="6"/>
  <c r="BP70" i="6"/>
  <c r="BO70" i="6"/>
  <c r="BN70" i="6"/>
  <c r="BM70" i="6"/>
  <c r="BL70" i="6"/>
  <c r="BK70" i="6"/>
  <c r="BJ70" i="6"/>
  <c r="BI70" i="6"/>
  <c r="BH70" i="6"/>
  <c r="BG70" i="6"/>
  <c r="BF70" i="6"/>
  <c r="BE70" i="6"/>
  <c r="BD70" i="6"/>
  <c r="BC70" i="6"/>
  <c r="BB70" i="6"/>
  <c r="AY70" i="6"/>
  <c r="AX70" i="6"/>
  <c r="AW70" i="6"/>
  <c r="AV70" i="6"/>
  <c r="AU70" i="6"/>
  <c r="AT70" i="6"/>
  <c r="AS70" i="6"/>
  <c r="AR70" i="6"/>
  <c r="AQ70" i="6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C70" i="6"/>
  <c r="B70" i="6"/>
  <c r="BS65" i="6"/>
  <c r="BR65" i="6"/>
  <c r="BS64" i="6"/>
  <c r="BR64" i="6"/>
  <c r="BS63" i="6"/>
  <c r="BR63" i="6"/>
  <c r="BS62" i="6"/>
  <c r="BR62" i="6"/>
  <c r="BS57" i="6"/>
  <c r="BR57" i="6"/>
  <c r="BS56" i="6"/>
  <c r="BR56" i="6"/>
  <c r="BS55" i="6"/>
  <c r="BR55" i="6"/>
  <c r="BS54" i="6"/>
  <c r="BR54" i="6"/>
  <c r="BS49" i="6"/>
  <c r="BR49" i="6"/>
  <c r="BS48" i="6"/>
  <c r="BR48" i="6"/>
  <c r="BS47" i="6"/>
  <c r="BR47" i="6"/>
  <c r="BS46" i="6"/>
  <c r="BR46" i="6"/>
  <c r="BS41" i="6"/>
  <c r="BR41" i="6"/>
  <c r="BS40" i="6"/>
  <c r="BR40" i="6"/>
  <c r="BS39" i="6"/>
  <c r="BR39" i="6"/>
  <c r="BS38" i="6"/>
  <c r="BR38" i="6"/>
  <c r="BS33" i="6"/>
  <c r="BR33" i="6"/>
  <c r="BS32" i="6"/>
  <c r="BR32" i="6"/>
  <c r="BS31" i="6"/>
  <c r="BR31" i="6"/>
  <c r="BS30" i="6"/>
  <c r="BR30" i="6"/>
  <c r="Y25" i="6"/>
  <c r="BS25" i="6" s="1"/>
  <c r="X25" i="6"/>
  <c r="X73" i="6" s="1"/>
  <c r="BR24" i="6"/>
  <c r="Y24" i="6"/>
  <c r="Y72" i="6" s="1"/>
  <c r="X24" i="6"/>
  <c r="BS23" i="6"/>
  <c r="BR23" i="6"/>
  <c r="Y22" i="6"/>
  <c r="Y70" i="6" s="1"/>
  <c r="X22" i="6"/>
  <c r="BR22" i="6" s="1"/>
  <c r="BS17" i="6"/>
  <c r="BR17" i="6"/>
  <c r="BS16" i="6"/>
  <c r="BR16" i="6"/>
  <c r="BS15" i="6"/>
  <c r="BR15" i="6"/>
  <c r="BS14" i="6"/>
  <c r="BR14" i="6"/>
  <c r="BS9" i="6"/>
  <c r="BR9" i="6"/>
  <c r="BS8" i="6"/>
  <c r="BR8" i="6"/>
  <c r="BS7" i="6"/>
  <c r="BR7" i="6"/>
  <c r="BS6" i="6"/>
  <c r="BR6" i="6"/>
  <c r="BQ100" i="5"/>
  <c r="BP100" i="5"/>
  <c r="BO100" i="5"/>
  <c r="BN100" i="5"/>
  <c r="BM100" i="5"/>
  <c r="BL100" i="5"/>
  <c r="BK100" i="5"/>
  <c r="BJ100" i="5"/>
  <c r="BI100" i="5"/>
  <c r="BH100" i="5"/>
  <c r="BG100" i="5"/>
  <c r="BF100" i="5"/>
  <c r="BE100" i="5"/>
  <c r="BD100" i="5"/>
  <c r="BC100" i="5"/>
  <c r="BB100" i="5"/>
  <c r="AY100" i="5"/>
  <c r="AX100" i="5"/>
  <c r="AW100" i="5"/>
  <c r="AV100" i="5"/>
  <c r="AU100" i="5"/>
  <c r="AT100" i="5"/>
  <c r="AS100" i="5"/>
  <c r="AR100" i="5"/>
  <c r="AQ100" i="5"/>
  <c r="AP100" i="5"/>
  <c r="AO100" i="5"/>
  <c r="AM100" i="5"/>
  <c r="AL100" i="5"/>
  <c r="AK100" i="5"/>
  <c r="AJ100" i="5"/>
  <c r="AI100" i="5"/>
  <c r="AH100" i="5"/>
  <c r="AG100" i="5"/>
  <c r="AF100" i="5"/>
  <c r="AE100" i="5"/>
  <c r="AD100" i="5"/>
  <c r="AC100" i="5"/>
  <c r="AB100" i="5"/>
  <c r="AA100" i="5"/>
  <c r="Z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C100" i="5"/>
  <c r="B100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AY94" i="5"/>
  <c r="AX94" i="5"/>
  <c r="AW94" i="5"/>
  <c r="AV94" i="5"/>
  <c r="AU94" i="5"/>
  <c r="AT94" i="5"/>
  <c r="AS94" i="5"/>
  <c r="AR94" i="5"/>
  <c r="AQ94" i="5"/>
  <c r="AP94" i="5"/>
  <c r="AO94" i="5"/>
  <c r="AM94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C94" i="5"/>
  <c r="B94" i="5"/>
  <c r="Y34" i="5"/>
  <c r="X34" i="5"/>
  <c r="X100" i="5" s="1"/>
  <c r="Y28" i="5"/>
  <c r="Y94" i="5" s="1"/>
  <c r="X28" i="5"/>
  <c r="BS91" i="4"/>
  <c r="BR91" i="4"/>
  <c r="BS90" i="4"/>
  <c r="BR90" i="4"/>
  <c r="BS87" i="4"/>
  <c r="BR87" i="4"/>
  <c r="BQ82" i="4"/>
  <c r="BP82" i="4"/>
  <c r="BO82" i="4"/>
  <c r="BN82" i="4"/>
  <c r="BM82" i="4"/>
  <c r="BL82" i="4"/>
  <c r="BK82" i="4"/>
  <c r="BJ82" i="4"/>
  <c r="BI82" i="4"/>
  <c r="BH82" i="4"/>
  <c r="BG82" i="4"/>
  <c r="BF82" i="4"/>
  <c r="BE82" i="4"/>
  <c r="BD82" i="4"/>
  <c r="BC82" i="4"/>
  <c r="BB82" i="4"/>
  <c r="AY82" i="4"/>
  <c r="AX82" i="4"/>
  <c r="AW82" i="4"/>
  <c r="AV82" i="4"/>
  <c r="AU82" i="4"/>
  <c r="AT82" i="4"/>
  <c r="AR82" i="4"/>
  <c r="AQ82" i="4"/>
  <c r="AP82" i="4"/>
  <c r="AO82" i="4"/>
  <c r="AN82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C82" i="4"/>
  <c r="B82" i="4"/>
  <c r="BQ81" i="4"/>
  <c r="BP81" i="4"/>
  <c r="BO81" i="4"/>
  <c r="BN81" i="4"/>
  <c r="BM81" i="4"/>
  <c r="BL81" i="4"/>
  <c r="BK81" i="4"/>
  <c r="BJ81" i="4"/>
  <c r="BI81" i="4"/>
  <c r="BH81" i="4"/>
  <c r="BG81" i="4"/>
  <c r="BF81" i="4"/>
  <c r="BE81" i="4"/>
  <c r="BD81" i="4"/>
  <c r="BC81" i="4"/>
  <c r="BB81" i="4"/>
  <c r="AY81" i="4"/>
  <c r="AX81" i="4"/>
  <c r="AW81" i="4"/>
  <c r="AV81" i="4"/>
  <c r="AU81" i="4"/>
  <c r="AT81" i="4"/>
  <c r="AR81" i="4"/>
  <c r="AQ81" i="4"/>
  <c r="AP81" i="4"/>
  <c r="AO81" i="4"/>
  <c r="AN81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AY78" i="4"/>
  <c r="AX78" i="4"/>
  <c r="AW78" i="4"/>
  <c r="AV78" i="4"/>
  <c r="AU78" i="4"/>
  <c r="AT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C78" i="4"/>
  <c r="B78" i="4"/>
  <c r="BS73" i="4"/>
  <c r="BR73" i="4"/>
  <c r="BS72" i="4"/>
  <c r="BR72" i="4"/>
  <c r="BS69" i="4"/>
  <c r="BR69" i="4"/>
  <c r="BS64" i="4"/>
  <c r="BR64" i="4"/>
  <c r="BS63" i="4"/>
  <c r="BR63" i="4"/>
  <c r="BS60" i="4"/>
  <c r="BR60" i="4"/>
  <c r="BS55" i="4"/>
  <c r="BR55" i="4"/>
  <c r="BS54" i="4"/>
  <c r="BR54" i="4"/>
  <c r="BS51" i="4"/>
  <c r="BR51" i="4"/>
  <c r="BS46" i="4"/>
  <c r="BR46" i="4"/>
  <c r="BS45" i="4"/>
  <c r="BR45" i="4"/>
  <c r="BS42" i="4"/>
  <c r="BR42" i="4"/>
  <c r="BS37" i="4"/>
  <c r="BR37" i="4"/>
  <c r="BS36" i="4"/>
  <c r="BR36" i="4"/>
  <c r="BS33" i="4"/>
  <c r="BR33" i="4"/>
  <c r="Y28" i="4"/>
  <c r="BS28" i="4" s="1"/>
  <c r="X28" i="4"/>
  <c r="X82" i="4" s="1"/>
  <c r="Y27" i="4"/>
  <c r="Y81" i="4" s="1"/>
  <c r="X27" i="4"/>
  <c r="X81" i="4" s="1"/>
  <c r="Y24" i="4"/>
  <c r="Y78" i="4" s="1"/>
  <c r="X24" i="4"/>
  <c r="X78" i="4" s="1"/>
  <c r="BS19" i="4"/>
  <c r="BR19" i="4"/>
  <c r="BS18" i="4"/>
  <c r="BR18" i="4"/>
  <c r="BS15" i="4"/>
  <c r="BR15" i="4"/>
  <c r="BS10" i="4"/>
  <c r="BR10" i="4"/>
  <c r="BS9" i="4"/>
  <c r="BR9" i="4"/>
  <c r="BS6" i="4"/>
  <c r="BR6" i="4"/>
  <c r="AJ30" i="3"/>
  <c r="AJ29" i="3"/>
  <c r="AJ28" i="3"/>
  <c r="AJ27" i="3"/>
  <c r="AJ26" i="3"/>
  <c r="AJ25" i="3"/>
  <c r="AJ24" i="3"/>
  <c r="AJ23" i="3"/>
  <c r="AJ22" i="3"/>
  <c r="AJ21" i="3"/>
  <c r="AJ19" i="3"/>
  <c r="AJ18" i="3"/>
  <c r="AJ17" i="3"/>
  <c r="AJ16" i="3"/>
  <c r="AJ15" i="3"/>
  <c r="AJ14" i="3"/>
  <c r="AJ12" i="3"/>
  <c r="AJ11" i="3"/>
  <c r="AJ10" i="3"/>
  <c r="AJ9" i="3"/>
  <c r="AG8" i="3"/>
  <c r="Y8" i="3"/>
  <c r="R8" i="3"/>
  <c r="AJ8" i="3" s="1"/>
  <c r="AJ7" i="3"/>
  <c r="AJ6" i="3"/>
  <c r="AJ5" i="3"/>
  <c r="BS28" i="2"/>
  <c r="BR28" i="2"/>
  <c r="BS27" i="2"/>
  <c r="BR27" i="2"/>
  <c r="BS26" i="2"/>
  <c r="BR26" i="2"/>
  <c r="BS25" i="2"/>
  <c r="BR25" i="2"/>
  <c r="BR24" i="2"/>
  <c r="AG24" i="2"/>
  <c r="BS24" i="2" s="1"/>
  <c r="BS23" i="2"/>
  <c r="BR23" i="2"/>
  <c r="BS22" i="2"/>
  <c r="BR22" i="2"/>
  <c r="BM21" i="2"/>
  <c r="BL21" i="2"/>
  <c r="AW21" i="2"/>
  <c r="AV21" i="2"/>
  <c r="AK21" i="2"/>
  <c r="AJ21" i="2"/>
  <c r="G21" i="2"/>
  <c r="BS21" i="2" s="1"/>
  <c r="F21" i="2"/>
  <c r="BR21" i="2" s="1"/>
  <c r="BS20" i="2"/>
  <c r="BR20" i="2"/>
  <c r="BS19" i="2"/>
  <c r="BR19" i="2"/>
  <c r="BS18" i="2"/>
  <c r="BR18" i="2"/>
  <c r="BS16" i="2"/>
  <c r="BR16" i="2"/>
  <c r="BM15" i="2"/>
  <c r="BL15" i="2"/>
  <c r="AE15" i="2"/>
  <c r="BS15" i="2" s="1"/>
  <c r="AD15" i="2"/>
  <c r="BR15" i="2" s="1"/>
  <c r="BS14" i="2"/>
  <c r="BR14" i="2"/>
  <c r="BS13" i="2"/>
  <c r="BR13" i="2"/>
  <c r="BS12" i="2"/>
  <c r="BR12" i="2"/>
  <c r="BS11" i="2"/>
  <c r="BR11" i="2"/>
  <c r="BS10" i="2"/>
  <c r="BR10" i="2"/>
  <c r="BS8" i="2"/>
  <c r="BR8" i="2"/>
  <c r="BS7" i="2"/>
  <c r="BR7" i="2"/>
  <c r="BS6" i="2"/>
  <c r="BR6" i="2"/>
  <c r="BQ19" i="1"/>
  <c r="BP19" i="1"/>
  <c r="BE19" i="1"/>
  <c r="BD19" i="1"/>
  <c r="AG19" i="1"/>
  <c r="AF19" i="1"/>
  <c r="O19" i="1"/>
  <c r="N19" i="1"/>
  <c r="BR19" i="1" s="1"/>
  <c r="BQ18" i="1"/>
  <c r="BP18" i="1"/>
  <c r="BE18" i="1"/>
  <c r="BD18" i="1"/>
  <c r="AG18" i="1"/>
  <c r="AF18" i="1"/>
  <c r="O18" i="1"/>
  <c r="N18" i="1"/>
  <c r="BR18" i="1" s="1"/>
  <c r="G17" i="1"/>
  <c r="BS17" i="1" s="1"/>
  <c r="F17" i="1"/>
  <c r="BR17" i="1" s="1"/>
  <c r="BS16" i="1"/>
  <c r="BR16" i="1"/>
  <c r="BS15" i="1"/>
  <c r="BR15" i="1"/>
  <c r="BS14" i="1"/>
  <c r="BR14" i="1"/>
  <c r="BQ12" i="1"/>
  <c r="BP12" i="1"/>
  <c r="BE12" i="1"/>
  <c r="BD12" i="1"/>
  <c r="AG12" i="1"/>
  <c r="AF12" i="1"/>
  <c r="O12" i="1"/>
  <c r="BS12" i="1" s="1"/>
  <c r="N12" i="1"/>
  <c r="BQ11" i="1"/>
  <c r="BP11" i="1"/>
  <c r="BE11" i="1"/>
  <c r="BD11" i="1"/>
  <c r="AG11" i="1"/>
  <c r="AF11" i="1"/>
  <c r="O11" i="1"/>
  <c r="BS11" i="1" s="1"/>
  <c r="N11" i="1"/>
  <c r="BQ10" i="1"/>
  <c r="BP10" i="1"/>
  <c r="BE10" i="1"/>
  <c r="BD10" i="1"/>
  <c r="AG10" i="1"/>
  <c r="AF10" i="1"/>
  <c r="O10" i="1"/>
  <c r="BS10" i="1" s="1"/>
  <c r="N10" i="1"/>
  <c r="BQ9" i="1"/>
  <c r="BP9" i="1"/>
  <c r="BE9" i="1"/>
  <c r="BD9" i="1"/>
  <c r="AG9" i="1"/>
  <c r="AF9" i="1"/>
  <c r="O9" i="1"/>
  <c r="BS9" i="1" s="1"/>
  <c r="N9" i="1"/>
  <c r="BQ8" i="1"/>
  <c r="BP8" i="1"/>
  <c r="BE8" i="1"/>
  <c r="BD8" i="1"/>
  <c r="AG8" i="1"/>
  <c r="AF8" i="1"/>
  <c r="O8" i="1"/>
  <c r="BS8" i="1" s="1"/>
  <c r="N8" i="1"/>
  <c r="BQ7" i="1"/>
  <c r="BP7" i="1"/>
  <c r="BM7" i="1"/>
  <c r="BL7" i="1"/>
  <c r="BG7" i="1"/>
  <c r="BF7" i="1"/>
  <c r="AW7" i="1"/>
  <c r="AV7" i="1"/>
  <c r="AG7" i="1"/>
  <c r="AF7" i="1"/>
  <c r="AE7" i="1"/>
  <c r="AD7" i="1"/>
  <c r="K7" i="1"/>
  <c r="J7" i="1"/>
  <c r="E7" i="1"/>
  <c r="D7" i="1"/>
  <c r="BQ6" i="1"/>
  <c r="BP6" i="1"/>
  <c r="BE6" i="1"/>
  <c r="BD6" i="1"/>
  <c r="AG6" i="1"/>
  <c r="AF6" i="1"/>
  <c r="O6" i="1"/>
  <c r="N6" i="1"/>
  <c r="BQ5" i="1"/>
  <c r="BP5" i="1"/>
  <c r="BE5" i="1"/>
  <c r="BD5" i="1"/>
  <c r="AG5" i="1"/>
  <c r="AF5" i="1"/>
  <c r="O5" i="1"/>
  <c r="N5" i="1"/>
  <c r="AJ13" i="17" l="1"/>
  <c r="BS24" i="4"/>
  <c r="BR5" i="1"/>
  <c r="BR6" i="1"/>
  <c r="BS22" i="6"/>
  <c r="BR25" i="6"/>
  <c r="AJ11" i="14"/>
  <c r="AJ15" i="17"/>
  <c r="X70" i="6"/>
  <c r="BR8" i="1"/>
  <c r="BR9" i="1"/>
  <c r="BR10" i="1"/>
  <c r="BR11" i="1"/>
  <c r="BR12" i="1"/>
  <c r="Y82" i="4"/>
  <c r="Y100" i="5"/>
  <c r="BS23" i="7"/>
  <c r="N7" i="1"/>
  <c r="BR7" i="1" s="1"/>
  <c r="Y73" i="6"/>
  <c r="AJ9" i="17"/>
  <c r="BS5" i="1"/>
  <c r="BS6" i="1"/>
  <c r="BS7" i="1"/>
  <c r="O7" i="1"/>
  <c r="BS18" i="1"/>
  <c r="BS19" i="1"/>
  <c r="BS24" i="6"/>
  <c r="BR23" i="7"/>
  <c r="BR27" i="4"/>
  <c r="BS27" i="4"/>
  <c r="BR24" i="4"/>
  <c r="BR28" i="4"/>
  <c r="BR72" i="6"/>
  <c r="BR71" i="6"/>
  <c r="BR100" i="5"/>
  <c r="BS94" i="5"/>
  <c r="BS100" i="5"/>
  <c r="BR94" i="5"/>
  <c r="BR70" i="6"/>
  <c r="BS82" i="4"/>
  <c r="BS78" i="4"/>
  <c r="BS81" i="4"/>
  <c r="BR82" i="4"/>
  <c r="BR78" i="4"/>
  <c r="BR81" i="4"/>
  <c r="BS72" i="6"/>
  <c r="BS70" i="6"/>
  <c r="BR73" i="6"/>
  <c r="BS71" i="6"/>
  <c r="BS73" i="6"/>
</calcChain>
</file>

<file path=xl/sharedStrings.xml><?xml version="1.0" encoding="utf-8"?>
<sst xmlns="http://schemas.openxmlformats.org/spreadsheetml/2006/main" count="5149" uniqueCount="350">
  <si>
    <t>Particulars</t>
  </si>
  <si>
    <t>Acko</t>
  </si>
  <si>
    <t>Aditya Birla</t>
  </si>
  <si>
    <t>AICL</t>
  </si>
  <si>
    <t>Apollo Munich</t>
  </si>
  <si>
    <t>Bajaj Allianz</t>
  </si>
  <si>
    <t>Bharti Axa</t>
  </si>
  <si>
    <t>Cholamandalam</t>
  </si>
  <si>
    <t>Cigna TTK</t>
  </si>
  <si>
    <t>DHFL</t>
  </si>
  <si>
    <t>Edelweiss</t>
  </si>
  <si>
    <t>ECGC</t>
  </si>
  <si>
    <t>Future Generali</t>
  </si>
  <si>
    <t>Go Digit</t>
  </si>
  <si>
    <t>HDFC Ergo</t>
  </si>
  <si>
    <t>ICICI Lombard</t>
  </si>
  <si>
    <t>Iffco Tokio</t>
  </si>
  <si>
    <t>Kotak</t>
  </si>
  <si>
    <t>Liberty</t>
  </si>
  <si>
    <t>Magma HDI</t>
  </si>
  <si>
    <t>Max Bupa</t>
  </si>
  <si>
    <t>National</t>
  </si>
  <si>
    <t>Raheja</t>
  </si>
  <si>
    <t>Reliance General</t>
  </si>
  <si>
    <t>Religare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</si>
  <si>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</si>
  <si>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</si>
  <si>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</si>
  <si>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</si>
  <si>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</si>
  <si>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</si>
  <si>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</si>
  <si>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Premiums earned (Net)</t>
  </si>
  <si>
    <t>Profit/ Loss on sale/redemption of Investments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</si>
  <si>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</si>
  <si>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</si>
  <si>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</si>
  <si>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</si>
  <si>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</si>
  <si>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Premium Deficiency</t>
  </si>
  <si>
    <t>TOTAL (B)</t>
  </si>
  <si>
    <t>Operating profit / (loss) (A-B)</t>
  </si>
  <si>
    <t>NL-1 Revenue Account</t>
  </si>
  <si>
    <t>in Rs. '000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</si>
  <si>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</si>
  <si>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</si>
  <si>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</si>
  <si>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</si>
  <si>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</si>
  <si>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</si>
  <si>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</si>
  <si>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OTHER INCOME</t>
  </si>
  <si>
    <t>PROVISIONS (Other than taxation)</t>
  </si>
  <si>
    <t>(a) For diminution in the value of investments</t>
  </si>
  <si>
    <t>(b) For doubtful debts</t>
  </si>
  <si>
    <t>Provision for Taxation -</t>
  </si>
  <si>
    <t xml:space="preserve">              Current Tax</t>
  </si>
  <si>
    <t xml:space="preserve">              Deferred Tax</t>
  </si>
  <si>
    <t xml:space="preserve">              Adjustment of taxation for earlier years</t>
  </si>
  <si>
    <t>PROFIT / (LOSS) AFTER TAX</t>
  </si>
  <si>
    <t>SOURCES OF FUNDS</t>
  </si>
  <si>
    <t>TOTAL</t>
  </si>
  <si>
    <t>APPLICATION OF FUNDS</t>
  </si>
  <si>
    <t>Cash and Bank Balances</t>
  </si>
  <si>
    <t>Advances and Other Assets</t>
  </si>
  <si>
    <t>Sub-Total (A)</t>
  </si>
  <si>
    <t>Sub-Total (B)</t>
  </si>
  <si>
    <t>NET CURRENT ASSETS (C) = (A - B)</t>
  </si>
  <si>
    <t>Direct claims</t>
  </si>
  <si>
    <t>Direct*</t>
  </si>
  <si>
    <t>Add - Reinsurance accepted</t>
  </si>
  <si>
    <t>Less - Commission on Reinsurance ceded</t>
  </si>
  <si>
    <t>NET COMMISSION</t>
  </si>
  <si>
    <t>(a) as auditor</t>
  </si>
  <si>
    <t>(b) as adviser or in any other capacity, in respect of</t>
  </si>
  <si>
    <t xml:space="preserve">                (i) Taxation matters</t>
  </si>
  <si>
    <t xml:space="preserve">               (ii) Insurance matters</t>
  </si>
  <si>
    <t>(c) in any other capacity</t>
  </si>
  <si>
    <t>Depreciation</t>
  </si>
  <si>
    <t>Service Tax Expenses / GST Expenses</t>
  </si>
  <si>
    <t>Capital Reserve</t>
  </si>
  <si>
    <t>Capital Redemption Reserve</t>
  </si>
  <si>
    <t>General Reserves</t>
  </si>
  <si>
    <t>Catastrophe Reserve</t>
  </si>
  <si>
    <t>Balance of Profit in Profit &amp; Loss Account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</si>
  <si>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</si>
  <si>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</si>
  <si>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</si>
  <si>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</si>
  <si>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</si>
  <si>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</si>
  <si>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</si>
  <si>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</si>
  <si>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</si>
  <si>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Investments in Infrastructure and Social Sector</t>
  </si>
  <si>
    <t>SHORT TERM INVESTMENTS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</si>
  <si>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</si>
  <si>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</si>
  <si>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</si>
  <si>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</si>
  <si>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</si>
  <si>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</si>
  <si>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</si>
  <si>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</si>
  <si>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</si>
  <si>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</si>
  <si>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</si>
  <si>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</si>
  <si>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</si>
  <si>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</si>
  <si>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</si>
  <si>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</si>
  <si>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</si>
  <si>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</si>
  <si>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</si>
  <si>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</si>
  <si>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</si>
  <si>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</si>
  <si>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</si>
  <si>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Furniture &amp; Fittings</t>
  </si>
  <si>
    <t>Office Equipments</t>
  </si>
  <si>
    <t>Electrical Equipments</t>
  </si>
  <si>
    <t>Capital Work in progress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</si>
  <si>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</si>
  <si>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</si>
  <si>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</si>
  <si>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</si>
  <si>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</si>
  <si>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</si>
  <si>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</si>
  <si>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</si>
  <si>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</si>
  <si>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</si>
  <si>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</si>
  <si>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</si>
  <si>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</si>
  <si>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</si>
  <si>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Sundry creditors</t>
  </si>
  <si>
    <t>Unclaimed amount of Policyholders</t>
  </si>
  <si>
    <t>Unallocated Premium</t>
  </si>
  <si>
    <t>Gross NPA Ratio</t>
  </si>
  <si>
    <t>Net NPA Ratio</t>
  </si>
  <si>
    <t>FIRE</t>
  </si>
  <si>
    <t>ENGINEERING</t>
  </si>
  <si>
    <t>PERSONAL ACCIDENT</t>
  </si>
  <si>
    <t>Other Income</t>
  </si>
  <si>
    <t>Contribution to Solatium Fund</t>
  </si>
  <si>
    <t>New India</t>
  </si>
  <si>
    <t>Oriental</t>
  </si>
  <si>
    <t>NL-2 Profit and Loss Account</t>
  </si>
  <si>
    <t>Less: Loss on sale of investments</t>
  </si>
  <si>
    <t>PROFIT / (LOSS) BEFORE TAX (A-B)</t>
  </si>
  <si>
    <t>Share Capital</t>
  </si>
  <si>
    <t>Share Application Money Pending Allotment</t>
  </si>
  <si>
    <t>Reserves and Surplus</t>
  </si>
  <si>
    <t>Borrowings</t>
  </si>
  <si>
    <t>Investments- Shareholders Funds</t>
  </si>
  <si>
    <t>Investments- Policyholders Funds</t>
  </si>
  <si>
    <t>Loans</t>
  </si>
  <si>
    <t>Fixed Assets</t>
  </si>
  <si>
    <t>Deferred Tax Assets</t>
  </si>
  <si>
    <t>Current Assets</t>
  </si>
  <si>
    <t>Current Liabilities</t>
  </si>
  <si>
    <t>Provisions</t>
  </si>
  <si>
    <t>Miscellaneous Expenditure (to the extent not written off or adjusted)</t>
  </si>
  <si>
    <t>Total Investments</t>
  </si>
  <si>
    <t>Debit Balance in Profit and Loss Account</t>
  </si>
  <si>
    <t>MARINE</t>
  </si>
  <si>
    <t>MOTOR</t>
  </si>
  <si>
    <t>HEALTH</t>
  </si>
  <si>
    <t>OTHER MISCELLANEOUS</t>
  </si>
  <si>
    <t>Others</t>
  </si>
  <si>
    <t>Less: Amount utilized for Buy-back</t>
  </si>
  <si>
    <t>Other Reserves</t>
  </si>
  <si>
    <t>Other than Approved Investments</t>
  </si>
  <si>
    <t>TOTAL LONG TERM INVESTMENTS</t>
  </si>
  <si>
    <t>TOTAL SHORT TERM INVESTMENTS</t>
  </si>
  <si>
    <t>SHAREHOLDERS</t>
  </si>
  <si>
    <t>POLICYHOLDERS</t>
  </si>
  <si>
    <t>IT Equipments</t>
  </si>
  <si>
    <t>Motor Cars/Vehicles</t>
  </si>
  <si>
    <t>(c) Cheque in Hand</t>
  </si>
  <si>
    <t>(d) Others</t>
  </si>
  <si>
    <t>NL-6 Commission</t>
  </si>
  <si>
    <t>NL-5 Claims</t>
  </si>
  <si>
    <t xml:space="preserve">NL-4 Premium </t>
  </si>
  <si>
    <t>Due to subsidiaries/ holding company</t>
  </si>
  <si>
    <t>Due to Directors/Officers</t>
  </si>
  <si>
    <t>Net Premium</t>
  </si>
  <si>
    <t>NL-30 Analytical Ratios</t>
  </si>
  <si>
    <t>Gross Premium Growth Rate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</si>
  <si>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</si>
  <si>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</si>
  <si>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</si>
  <si>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</si>
  <si>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</si>
  <si>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</si>
  <si>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</si>
  <si>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</si>
  <si>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</si>
  <si>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</si>
  <si>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</si>
  <si>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</si>
  <si>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</si>
  <si>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</si>
  <si>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LIABILITY</t>
  </si>
  <si>
    <t>Other Expenses</t>
  </si>
  <si>
    <t>Fair Value Change Account</t>
  </si>
  <si>
    <t>(c) Accretion/(Amortisation) of Debt Securities</t>
  </si>
  <si>
    <t>Instangible Assets under development</t>
  </si>
  <si>
    <t>Gross Direct Premium to Net Worth Ratio</t>
  </si>
  <si>
    <t>Interest on unclaimed amount of policyholders</t>
  </si>
  <si>
    <t xml:space="preserve">Claims Outstanding </t>
  </si>
  <si>
    <t>(d) Amortization of Discount / (Premium)</t>
  </si>
  <si>
    <t>Deferred Tax Liability</t>
  </si>
  <si>
    <t>(c) Others</t>
  </si>
  <si>
    <t xml:space="preserve">Buildings </t>
  </si>
  <si>
    <t>Addition during the year - Balance Transferred From P &amp; L Account</t>
  </si>
  <si>
    <t>Add: Dividend and dividend Distribution tax</t>
  </si>
  <si>
    <t>Add: Issue of Bonus shares</t>
  </si>
  <si>
    <t>Other Assets</t>
  </si>
  <si>
    <t xml:space="preserve">OTHER EXPENSES </t>
  </si>
  <si>
    <t>Printing and stationery</t>
  </si>
  <si>
    <t>Communication</t>
  </si>
  <si>
    <t>Legal and Professional Charges</t>
  </si>
  <si>
    <t>Auditors fees, expenses etc.</t>
  </si>
  <si>
    <t>Advertisement and publicity</t>
  </si>
  <si>
    <t>Interest and bank charges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</si>
  <si>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</si>
  <si>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</si>
  <si>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</si>
  <si>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</si>
  <si>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</si>
  <si>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Share/Security Premium</t>
  </si>
  <si>
    <t>(d) out of pocket expenses</t>
  </si>
  <si>
    <t>Liberty General</t>
  </si>
  <si>
    <t>NL-7 Operating Expenses</t>
  </si>
  <si>
    <t>(e) Non convertible debenture/bonds</t>
  </si>
  <si>
    <t>(f) Subsidiaries</t>
  </si>
  <si>
    <t>(g) Investment properties - Real Estate</t>
  </si>
  <si>
    <t>(c) Derivative Instruments</t>
  </si>
  <si>
    <t>(d) Debentures/ Bonds</t>
  </si>
  <si>
    <t>(f) Other securities</t>
  </si>
  <si>
    <t>(g) Fixed Deposit with Bank</t>
  </si>
  <si>
    <t>(d) Non convertible debentures/bonds</t>
  </si>
  <si>
    <t>(e) Other securities (Bank deposits)</t>
  </si>
  <si>
    <t>(f) Fixed Deposit</t>
  </si>
  <si>
    <t>(d) Non cenvertible debenture/bonds</t>
  </si>
  <si>
    <t>(d) Non convertible debenture/bonds</t>
  </si>
  <si>
    <t xml:space="preserve">(e) Other securities </t>
  </si>
  <si>
    <t>Industry Total</t>
  </si>
  <si>
    <t xml:space="preserve">              (iii) Management services</t>
  </si>
  <si>
    <t>AVIATION</t>
  </si>
  <si>
    <t>Gross Premium to shareholders' fund ratio</t>
  </si>
  <si>
    <t>Growth Rate of Net Worth</t>
  </si>
  <si>
    <t>Growth rate of shareholders' fund</t>
  </si>
  <si>
    <t>No.of Policies</t>
  </si>
  <si>
    <t>Premium</t>
  </si>
  <si>
    <t>Individual Agents</t>
  </si>
  <si>
    <t>Corporate Agents-Banks</t>
  </si>
  <si>
    <t>Corporate Agents -Others</t>
  </si>
  <si>
    <t>Brokers</t>
  </si>
  <si>
    <t>Micro Agents</t>
  </si>
  <si>
    <t>Referral (B)</t>
  </si>
  <si>
    <t>Grand Total (A+B)</t>
  </si>
  <si>
    <t>in Rs. Lakhs</t>
  </si>
  <si>
    <t>Direct Business</t>
  </si>
  <si>
    <t>Total (A)</t>
  </si>
  <si>
    <t>No. of Policies- in number only, Premium- in Rs. Lakhs</t>
  </si>
  <si>
    <t>NL-33 Solvency Margin KGII for the period ended 31 Dec 2018</t>
  </si>
  <si>
    <t xml:space="preserve">NL-40 Business Acquisition Through Different Channels </t>
  </si>
  <si>
    <t>Deduct:</t>
  </si>
  <si>
    <t>Liabilities (reserves as mentioned in Form HG)</t>
  </si>
  <si>
    <t>Other Liabilities (other liabilities in respect of Shareholders’ Fund as mentioned in Balance Sheet)</t>
  </si>
  <si>
    <t>Total Required Solvency Margin  [RSM]</t>
  </si>
  <si>
    <t>Solvency Ratio (Total ASM/Total RSM)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</si>
  <si>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</si>
  <si>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</si>
  <si>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</si>
  <si>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</si>
  <si>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Excess in Shareholders’ Funds</t>
  </si>
  <si>
    <t>Total Available Solvency Margin [ASM]</t>
  </si>
  <si>
    <t>Available Assets in Policyholders’ Funds</t>
  </si>
  <si>
    <t>Available Assets in Shareholders’ Funds</t>
  </si>
  <si>
    <t>No. of Claims only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</si>
  <si>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</si>
  <si>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</si>
  <si>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</si>
  <si>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</si>
  <si>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</si>
  <si>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</si>
  <si>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3 months to 6 months</t>
  </si>
  <si>
    <t>6 months to 1 year</t>
  </si>
  <si>
    <t>1 year and above</t>
  </si>
  <si>
    <t>Less than 3 months</t>
  </si>
  <si>
    <t>3 year and above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</si>
  <si>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</si>
  <si>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</si>
  <si>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</si>
  <si>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</si>
  <si>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</si>
  <si>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</si>
  <si>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Total</t>
  </si>
  <si>
    <t>No. of Reinsurers</t>
  </si>
  <si>
    <t>Premium ceded to reinsurers</t>
  </si>
  <si>
    <t>Proportional</t>
  </si>
  <si>
    <t>Non-Proportional</t>
  </si>
  <si>
    <t>Facultative</t>
  </si>
  <si>
    <t>Premium ceded to reinsurers/ Total reinsurance premium ceded (%)</t>
  </si>
  <si>
    <t>No. of Domestic Reinsurance Placed with Indian Insurance Companies</t>
  </si>
  <si>
    <t>No. of Indian reinsurer other than GIC</t>
  </si>
  <si>
    <t>Domestic Capacity</t>
  </si>
  <si>
    <t>Motor TP</t>
  </si>
  <si>
    <t>Non TP</t>
  </si>
  <si>
    <t>(e) Other securities</t>
  </si>
  <si>
    <t>(g) Fixed Deposit</t>
  </si>
  <si>
    <t>(h) Subsidiaries</t>
  </si>
  <si>
    <t>Foreign Currency Translation Reserve</t>
  </si>
  <si>
    <t>Exchange Loss</t>
  </si>
  <si>
    <t>Provision for diminution in the value of Investments, amortisation of Premium on investments, an amount written off in respect of depreciated investments</t>
  </si>
  <si>
    <t>(h) Auto Ancillary and Venture Capital</t>
  </si>
  <si>
    <t>For Q4 2018-19</t>
  </si>
  <si>
    <t>Upto 12 months 2018-19</t>
  </si>
  <si>
    <t>NL-3 Balance Sheet as at 31 Mar 2019</t>
  </si>
  <si>
    <t>NL-33 Solvency Margin KGII for the period ended 31 Mar 2019</t>
  </si>
  <si>
    <t>NL-25 Quarterly Claims Data (for Q4)</t>
  </si>
  <si>
    <t>NL-17 Current Liabilities
as at 31 Mar 2019</t>
  </si>
  <si>
    <t>NL-15 Cash and Bank Balance
as at 31 Mar 2019</t>
  </si>
  <si>
    <t>NL-14 Fixed Assets. Net Block as at 31 Mar 2019</t>
  </si>
  <si>
    <t>NL-13 Loans as at 31 Mar 2019</t>
  </si>
  <si>
    <t>NL-12 Investments as at 31 Mar 2019</t>
  </si>
  <si>
    <t>NL-10 Reserves and Surplus as at 31 Mar 2019</t>
  </si>
  <si>
    <t>Reliance Health</t>
  </si>
  <si>
    <t>0 .04</t>
  </si>
  <si>
    <t>0 .05</t>
  </si>
  <si>
    <t>(d) Other securities</t>
  </si>
  <si>
    <t>Leasehold</t>
  </si>
  <si>
    <t xml:space="preserve">NL-23 Reinsurance Risk Concentration </t>
  </si>
  <si>
    <t>Premium from direct business written</t>
  </si>
  <si>
    <t>Premium on reinsurance accepted</t>
  </si>
  <si>
    <t>Premium on reinsurance ceded</t>
  </si>
  <si>
    <t>Net Earned Premium</t>
  </si>
  <si>
    <t>Reinsurance accepted</t>
  </si>
  <si>
    <t>Reinsurance ceded</t>
  </si>
  <si>
    <t>Net Claims Paid</t>
  </si>
  <si>
    <t>Claims Outstanding at the end of the year</t>
  </si>
  <si>
    <t>Claims Outstanding at the beginning of the year</t>
  </si>
  <si>
    <t>Total Claims Incurred</t>
  </si>
  <si>
    <t>2,40,773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</si>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</sst>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0.000%"/>
    <numFmt numFmtId="167" formatCode="0.0000"/>
    <numFmt numFmtId="168" formatCode="0_);\(0\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indexed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4" tint="-0.249977111117893"/>
      <name val="Calibri"/>
      <family val="2"/>
    </font>
    <font>
      <sz val="11"/>
      <color theme="4" tint="-0.249977111117893"/>
      <name val="Calibri"/>
      <family val="2"/>
    </font>
    <font>
      <sz val="11"/>
      <color indexed="8"/>
      <name val="Calibri"/>
      <family val="2"/>
    </font>
    <font>
      <sz val="11"/>
      <color theme="1"/>
      <name val="Andalus"/>
      <family val="1"/>
    </font>
    <font>
      <b/>
      <sz val="11"/>
      <color theme="1"/>
      <name val="Andalus"/>
      <family val="1"/>
    </font>
    <font>
      <sz val="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</cellStyleXfs>
  <cellXfs count="21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Alignment="1">
      <alignment wrapText="1"/>
    </xf>
    <xf numFmtId="1" fontId="4" fillId="0" borderId="0" xfId="0" applyNumberFormat="1" applyFont="1" applyAlignment="1">
      <alignment wrapText="1"/>
    </xf>
    <xf numFmtId="1" fontId="3" fillId="0" borderId="0" xfId="0" applyNumberFormat="1" applyFont="1"/>
    <xf numFmtId="1" fontId="1" fillId="0" borderId="0" xfId="0" applyNumberFormat="1" applyFont="1" applyAlignment="1">
      <alignment wrapText="1"/>
    </xf>
    <xf numFmtId="1" fontId="0" fillId="0" borderId="0" xfId="0" applyNumberFormat="1" applyFont="1"/>
    <xf numFmtId="1" fontId="0" fillId="0" borderId="0" xfId="0" applyNumberFormat="1" applyBorder="1"/>
    <xf numFmtId="1" fontId="0" fillId="0" borderId="0" xfId="0" applyNumberFormat="1" applyFont="1" applyBorder="1"/>
    <xf numFmtId="1" fontId="4" fillId="0" borderId="0" xfId="0" applyNumberFormat="1" applyFont="1"/>
    <xf numFmtId="1" fontId="10" fillId="0" borderId="0" xfId="0" applyNumberFormat="1" applyFont="1"/>
    <xf numFmtId="1" fontId="8" fillId="0" borderId="0" xfId="0" applyNumberFormat="1" applyFont="1"/>
    <xf numFmtId="1" fontId="6" fillId="0" borderId="0" xfId="0" applyNumberFormat="1" applyFont="1" applyFill="1" applyBorder="1" applyAlignment="1">
      <alignment horizontal="right" vertical="top" shrinkToFit="1"/>
    </xf>
    <xf numFmtId="1" fontId="9" fillId="0" borderId="0" xfId="0" applyNumberFormat="1" applyFont="1"/>
    <xf numFmtId="1" fontId="6" fillId="0" borderId="0" xfId="0" applyNumberFormat="1" applyFont="1" applyFill="1" applyBorder="1" applyAlignment="1">
      <alignment horizontal="left" vertical="top"/>
    </xf>
    <xf numFmtId="1" fontId="11" fillId="0" borderId="0" xfId="0" applyNumberFormat="1" applyFont="1" applyFill="1" applyBorder="1" applyAlignment="1">
      <alignment horizontal="left" vertical="top"/>
    </xf>
    <xf numFmtId="1" fontId="11" fillId="0" borderId="0" xfId="0" applyNumberFormat="1" applyFont="1" applyFill="1" applyBorder="1" applyAlignment="1">
      <alignment horizontal="right" vertical="top" shrinkToFit="1"/>
    </xf>
    <xf numFmtId="1" fontId="0" fillId="0" borderId="1" xfId="0" applyNumberFormat="1" applyBorder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wrapText="1"/>
    </xf>
    <xf numFmtId="1" fontId="8" fillId="0" borderId="1" xfId="0" applyNumberFormat="1" applyFont="1" applyBorder="1"/>
    <xf numFmtId="1" fontId="0" fillId="0" borderId="1" xfId="0" applyNumberFormat="1" applyBorder="1" applyAlignment="1">
      <alignment wrapText="1"/>
    </xf>
    <xf numFmtId="1" fontId="8" fillId="0" borderId="1" xfId="0" applyNumberFormat="1" applyFont="1" applyBorder="1" applyAlignment="1">
      <alignment horizontal="left" wrapText="1"/>
    </xf>
    <xf numFmtId="1" fontId="12" fillId="0" borderId="0" xfId="0" applyNumberFormat="1" applyFont="1" applyAlignment="1">
      <alignment wrapText="1"/>
    </xf>
    <xf numFmtId="1" fontId="0" fillId="0" borderId="1" xfId="0" applyNumberFormat="1" applyFill="1" applyBorder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1" fontId="6" fillId="0" borderId="1" xfId="0" applyNumberFormat="1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left" vertical="top"/>
    </xf>
    <xf numFmtId="1" fontId="12" fillId="0" borderId="0" xfId="0" applyNumberFormat="1" applyFont="1"/>
    <xf numFmtId="1" fontId="1" fillId="0" borderId="0" xfId="0" applyNumberFormat="1" applyFont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/>
    <xf numFmtId="1" fontId="7" fillId="0" borderId="1" xfId="0" applyNumberFormat="1" applyFont="1" applyBorder="1"/>
    <xf numFmtId="1" fontId="7" fillId="0" borderId="1" xfId="0" applyNumberFormat="1" applyFont="1" applyBorder="1" applyAlignment="1">
      <alignment wrapText="1"/>
    </xf>
    <xf numFmtId="1" fontId="3" fillId="0" borderId="1" xfId="0" applyNumberFormat="1" applyFont="1" applyBorder="1"/>
    <xf numFmtId="1" fontId="13" fillId="0" borderId="0" xfId="0" applyNumberFormat="1" applyFont="1"/>
    <xf numFmtId="1" fontId="13" fillId="0" borderId="1" xfId="0" applyNumberFormat="1" applyFont="1" applyBorder="1"/>
    <xf numFmtId="1" fontId="0" fillId="0" borderId="1" xfId="2" applyNumberFormat="1" applyFont="1" applyBorder="1"/>
    <xf numFmtId="1" fontId="6" fillId="0" borderId="1" xfId="0" applyNumberFormat="1" applyFont="1" applyFill="1" applyBorder="1" applyAlignment="1">
      <alignment horizontal="right" vertical="top" shrinkToFit="1"/>
    </xf>
    <xf numFmtId="1" fontId="8" fillId="0" borderId="1" xfId="0" applyNumberFormat="1" applyFont="1" applyFill="1" applyBorder="1" applyAlignment="1">
      <alignment horizontal="right" vertical="top" shrinkToFit="1"/>
    </xf>
    <xf numFmtId="9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2" fontId="0" fillId="0" borderId="1" xfId="1" applyNumberFormat="1" applyFont="1" applyBorder="1"/>
    <xf numFmtId="0" fontId="0" fillId="0" borderId="1" xfId="0" applyFill="1" applyBorder="1"/>
    <xf numFmtId="1" fontId="5" fillId="0" borderId="1" xfId="0" applyNumberFormat="1" applyFont="1" applyBorder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1" fontId="4" fillId="0" borderId="1" xfId="0" applyNumberFormat="1" applyFont="1" applyBorder="1" applyAlignment="1">
      <alignment wrapText="1"/>
    </xf>
    <xf numFmtId="1" fontId="13" fillId="0" borderId="1" xfId="0" applyNumberFormat="1" applyFont="1" applyBorder="1" applyAlignment="1">
      <alignment wrapText="1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wrapText="1"/>
    </xf>
    <xf numFmtId="1" fontId="4" fillId="0" borderId="0" xfId="0" applyNumberFormat="1" applyFont="1" applyBorder="1" applyAlignment="1">
      <alignment wrapText="1"/>
    </xf>
    <xf numFmtId="1" fontId="4" fillId="0" borderId="0" xfId="0" applyNumberFormat="1" applyFont="1" applyBorder="1"/>
    <xf numFmtId="1" fontId="12" fillId="0" borderId="0" xfId="0" applyNumberFormat="1" applyFont="1" applyAlignment="1"/>
    <xf numFmtId="1" fontId="0" fillId="0" borderId="0" xfId="0" applyNumberFormat="1" applyFont="1" applyAlignment="1">
      <alignment wrapText="1"/>
    </xf>
    <xf numFmtId="2" fontId="8" fillId="0" borderId="0" xfId="0" applyNumberFormat="1" applyFont="1"/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9" fontId="8" fillId="0" borderId="1" xfId="0" applyNumberFormat="1" applyFont="1" applyBorder="1"/>
    <xf numFmtId="10" fontId="8" fillId="0" borderId="1" xfId="0" applyNumberFormat="1" applyFont="1" applyBorder="1"/>
    <xf numFmtId="2" fontId="12" fillId="0" borderId="0" xfId="0" applyNumberFormat="1" applyFont="1"/>
    <xf numFmtId="2" fontId="0" fillId="0" borderId="0" xfId="0" applyNumberFormat="1"/>
    <xf numFmtId="2" fontId="8" fillId="0" borderId="1" xfId="0" applyNumberFormat="1" applyFont="1" applyBorder="1" applyAlignment="1">
      <alignment horizontal="left" wrapText="1"/>
    </xf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vertical="center" wrapText="1"/>
    </xf>
    <xf numFmtId="0" fontId="0" fillId="0" borderId="0" xfId="0" applyNumberFormat="1"/>
    <xf numFmtId="10" fontId="0" fillId="0" borderId="0" xfId="1" applyNumberFormat="1" applyFont="1"/>
    <xf numFmtId="2" fontId="1" fillId="0" borderId="1" xfId="0" applyNumberFormat="1" applyFont="1" applyBorder="1" applyAlignment="1">
      <alignment vertical="center" wrapText="1"/>
    </xf>
    <xf numFmtId="10" fontId="0" fillId="0" borderId="1" xfId="1" applyNumberFormat="1" applyFont="1" applyBorder="1"/>
    <xf numFmtId="9" fontId="0" fillId="0" borderId="1" xfId="1" applyFont="1" applyBorder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10" fontId="1" fillId="0" borderId="1" xfId="1" applyNumberFormat="1" applyFont="1" applyBorder="1"/>
    <xf numFmtId="10" fontId="1" fillId="0" borderId="1" xfId="0" applyNumberFormat="1" applyFont="1" applyBorder="1"/>
    <xf numFmtId="2" fontId="1" fillId="0" borderId="0" xfId="0" applyNumberFormat="1" applyFont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Fill="1"/>
    <xf numFmtId="3" fontId="0" fillId="0" borderId="1" xfId="0" applyNumberFormat="1" applyBorder="1"/>
    <xf numFmtId="4" fontId="0" fillId="0" borderId="1" xfId="0" applyNumberFormat="1" applyBorder="1"/>
    <xf numFmtId="1" fontId="8" fillId="0" borderId="0" xfId="0" applyNumberFormat="1" applyFont="1" applyBorder="1"/>
    <xf numFmtId="1" fontId="0" fillId="0" borderId="1" xfId="0" applyNumberFormat="1" applyBorder="1" applyAlignment="1">
      <alignment horizontal="left" vertical="top"/>
    </xf>
    <xf numFmtId="1" fontId="0" fillId="0" borderId="0" xfId="0" applyNumberFormat="1" applyBorder="1" applyAlignment="1">
      <alignment horizontal="left" vertical="top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0" fillId="0" borderId="1" xfId="1" applyNumberFormat="1" applyFont="1" applyBorder="1"/>
    <xf numFmtId="1" fontId="0" fillId="0" borderId="0" xfId="0" applyNumberFormat="1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wrapText="1"/>
    </xf>
    <xf numFmtId="1" fontId="0" fillId="0" borderId="0" xfId="0" applyNumberFormat="1" applyFont="1" applyBorder="1" applyAlignment="1">
      <alignment wrapText="1"/>
    </xf>
    <xf numFmtId="1" fontId="0" fillId="0" borderId="1" xfId="0" applyNumberFormat="1" applyFont="1" applyBorder="1" applyAlignment="1">
      <alignment vertical="center" wrapText="1"/>
    </xf>
    <xf numFmtId="1" fontId="0" fillId="0" borderId="0" xfId="0" applyNumberFormat="1" applyFont="1" applyFill="1" applyBorder="1" applyAlignment="1">
      <alignment horizontal="right" vertical="top"/>
    </xf>
    <xf numFmtId="1" fontId="1" fillId="0" borderId="1" xfId="0" applyNumberFormat="1" applyFont="1" applyBorder="1" applyAlignment="1">
      <alignment horizontal="right" vertical="center" wrapText="1"/>
    </xf>
    <xf numFmtId="1" fontId="0" fillId="0" borderId="1" xfId="0" applyNumberFormat="1" applyFont="1" applyBorder="1" applyAlignment="1">
      <alignment horizontal="right"/>
    </xf>
    <xf numFmtId="1" fontId="6" fillId="0" borderId="1" xfId="0" applyNumberFormat="1" applyFont="1" applyFill="1" applyBorder="1" applyAlignment="1">
      <alignment horizontal="right" vertical="top" indent="1" shrinkToFit="1"/>
    </xf>
    <xf numFmtId="1" fontId="6" fillId="0" borderId="1" xfId="0" applyNumberFormat="1" applyFont="1" applyFill="1" applyBorder="1" applyAlignment="1">
      <alignment horizontal="right" vertical="top" indent="3" shrinkToFit="1"/>
    </xf>
    <xf numFmtId="1" fontId="6" fillId="0" borderId="1" xfId="0" applyNumberFormat="1" applyFont="1" applyFill="1" applyBorder="1" applyAlignment="1">
      <alignment horizontal="left" vertical="top" indent="3" shrinkToFit="1"/>
    </xf>
    <xf numFmtId="1" fontId="6" fillId="0" borderId="1" xfId="0" applyNumberFormat="1" applyFont="1" applyFill="1" applyBorder="1" applyAlignment="1">
      <alignment horizontal="right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right" vertical="top"/>
    </xf>
    <xf numFmtId="1" fontId="14" fillId="0" borderId="1" xfId="0" applyNumberFormat="1" applyFont="1" applyFill="1" applyBorder="1" applyAlignment="1">
      <alignment horizontal="right" vertical="top" indent="3" shrinkToFit="1"/>
    </xf>
    <xf numFmtId="167" fontId="0" fillId="0" borderId="1" xfId="0" applyNumberFormat="1" applyBorder="1"/>
    <xf numFmtId="10" fontId="0" fillId="0" borderId="0" xfId="0" applyNumberFormat="1"/>
    <xf numFmtId="1" fontId="16" fillId="0" borderId="2" xfId="0" applyNumberFormat="1" applyFont="1" applyFill="1" applyBorder="1" applyAlignment="1">
      <alignment horizontal="right" vertical="top" wrapText="1"/>
    </xf>
    <xf numFmtId="1" fontId="18" fillId="0" borderId="2" xfId="0" applyNumberFormat="1" applyFont="1" applyFill="1" applyBorder="1" applyAlignment="1">
      <alignment horizontal="right" vertical="top" shrinkToFit="1"/>
    </xf>
    <xf numFmtId="1" fontId="17" fillId="0" borderId="0" xfId="0" applyNumberFormat="1" applyFont="1" applyFill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right" vertical="top" wrapText="1"/>
    </xf>
    <xf numFmtId="1" fontId="16" fillId="0" borderId="2" xfId="0" applyNumberFormat="1" applyFont="1" applyFill="1" applyBorder="1" applyAlignment="1">
      <alignment horizontal="right" vertical="top" shrinkToFit="1"/>
    </xf>
    <xf numFmtId="1" fontId="0" fillId="0" borderId="2" xfId="0" applyNumberFormat="1" applyFont="1" applyFill="1" applyBorder="1" applyAlignment="1">
      <alignment horizontal="left" vertical="top" wrapText="1"/>
    </xf>
    <xf numFmtId="1" fontId="0" fillId="0" borderId="2" xfId="0" applyNumberFormat="1" applyFont="1" applyFill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16" fillId="0" borderId="2" xfId="0" applyNumberFormat="1" applyFont="1" applyFill="1" applyBorder="1" applyAlignment="1">
      <alignment horizontal="right" wrapText="1"/>
    </xf>
    <xf numFmtId="1" fontId="16" fillId="0" borderId="1" xfId="0" applyNumberFormat="1" applyFont="1" applyFill="1" applyBorder="1" applyAlignment="1">
      <alignment horizontal="right" wrapText="1"/>
    </xf>
    <xf numFmtId="1" fontId="18" fillId="0" borderId="2" xfId="0" applyNumberFormat="1" applyFont="1" applyFill="1" applyBorder="1" applyAlignment="1">
      <alignment horizontal="right" shrinkToFit="1"/>
    </xf>
    <xf numFmtId="1" fontId="7" fillId="0" borderId="1" xfId="0" applyNumberFormat="1" applyFont="1" applyBorder="1" applyAlignment="1"/>
    <xf numFmtId="10" fontId="18" fillId="2" borderId="2" xfId="0" applyNumberFormat="1" applyFont="1" applyFill="1" applyBorder="1" applyAlignment="1">
      <alignment horizontal="right" shrinkToFit="1"/>
    </xf>
    <xf numFmtId="0" fontId="18" fillId="0" borderId="0" xfId="0" applyFont="1" applyFill="1" applyBorder="1" applyAlignment="1">
      <alignment horizontal="right" shrinkToFit="1"/>
    </xf>
    <xf numFmtId="0" fontId="0" fillId="0" borderId="0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right" wrapText="1"/>
    </xf>
    <xf numFmtId="1" fontId="18" fillId="2" borderId="2" xfId="0" applyNumberFormat="1" applyFont="1" applyFill="1" applyBorder="1" applyAlignment="1">
      <alignment horizontal="right" vertical="top" shrinkToFit="1"/>
    </xf>
    <xf numFmtId="0" fontId="0" fillId="0" borderId="0" xfId="0" applyFont="1" applyFill="1" applyBorder="1" applyAlignment="1">
      <alignment horizontal="left" vertical="top"/>
    </xf>
    <xf numFmtId="1" fontId="22" fillId="2" borderId="2" xfId="0" applyNumberFormat="1" applyFont="1" applyFill="1" applyBorder="1" applyAlignment="1">
      <alignment horizontal="right" vertical="top" shrinkToFit="1"/>
    </xf>
    <xf numFmtId="0" fontId="23" fillId="0" borderId="0" xfId="0" applyFont="1" applyFill="1" applyBorder="1" applyAlignment="1">
      <alignment horizontal="left" vertical="top"/>
    </xf>
    <xf numFmtId="1" fontId="13" fillId="0" borderId="0" xfId="0" applyNumberFormat="1" applyFont="1" applyAlignment="1">
      <alignment wrapText="1"/>
    </xf>
    <xf numFmtId="1" fontId="7" fillId="0" borderId="0" xfId="0" applyNumberFormat="1" applyFont="1"/>
    <xf numFmtId="1" fontId="21" fillId="2" borderId="2" xfId="0" applyNumberFormat="1" applyFont="1" applyFill="1" applyBorder="1" applyAlignment="1">
      <alignment horizontal="right" vertical="top" shrinkToFit="1"/>
    </xf>
    <xf numFmtId="1" fontId="24" fillId="2" borderId="2" xfId="0" applyNumberFormat="1" applyFont="1" applyFill="1" applyBorder="1" applyAlignment="1">
      <alignment horizontal="right" vertical="top" shrinkToFit="1"/>
    </xf>
    <xf numFmtId="1" fontId="0" fillId="0" borderId="1" xfId="0" applyNumberFormat="1" applyFont="1" applyBorder="1" applyAlignment="1">
      <alignment horizontal="right" vertical="center" wrapText="1"/>
    </xf>
    <xf numFmtId="1" fontId="18" fillId="2" borderId="1" xfId="0" applyNumberFormat="1" applyFont="1" applyFill="1" applyBorder="1" applyAlignment="1">
      <alignment horizontal="right" vertical="top" shrinkToFit="1"/>
    </xf>
    <xf numFmtId="0" fontId="0" fillId="0" borderId="1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right"/>
    </xf>
    <xf numFmtId="0" fontId="22" fillId="0" borderId="1" xfId="0" applyFont="1" applyFill="1" applyBorder="1" applyAlignment="1">
      <alignment horizontal="right" vertical="top"/>
    </xf>
    <xf numFmtId="1" fontId="6" fillId="0" borderId="2" xfId="0" applyNumberFormat="1" applyFont="1" applyFill="1" applyBorder="1" applyAlignment="1">
      <alignment horizontal="right" vertical="top" shrinkToFit="1"/>
    </xf>
    <xf numFmtId="1" fontId="8" fillId="0" borderId="2" xfId="0" applyNumberFormat="1" applyFont="1" applyFill="1" applyBorder="1" applyAlignment="1">
      <alignment horizontal="right" vertical="top" wrapText="1"/>
    </xf>
    <xf numFmtId="1" fontId="8" fillId="0" borderId="2" xfId="0" applyNumberFormat="1" applyFont="1" applyFill="1" applyBorder="1" applyAlignment="1">
      <alignment horizontal="right" vertical="center" wrapText="1"/>
    </xf>
    <xf numFmtId="1" fontId="9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1" fontId="13" fillId="0" borderId="1" xfId="0" applyNumberFormat="1" applyFont="1" applyFill="1" applyBorder="1" applyAlignment="1">
      <alignment horizontal="right" vertical="top"/>
    </xf>
    <xf numFmtId="1" fontId="7" fillId="0" borderId="1" xfId="0" applyNumberFormat="1" applyFont="1" applyFill="1" applyBorder="1" applyAlignment="1">
      <alignment horizontal="right" vertical="top"/>
    </xf>
    <xf numFmtId="1" fontId="13" fillId="0" borderId="0" xfId="0" applyNumberFormat="1" applyFont="1" applyFill="1" applyBorder="1" applyAlignment="1">
      <alignment horizontal="left" vertical="top"/>
    </xf>
    <xf numFmtId="1" fontId="0" fillId="0" borderId="1" xfId="0" applyNumberFormat="1" applyBorder="1" applyAlignment="1">
      <alignment horizontal="right" vertical="top"/>
    </xf>
    <xf numFmtId="1" fontId="8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right" shrinkToFit="1"/>
    </xf>
    <xf numFmtId="1" fontId="6" fillId="0" borderId="1" xfId="0" applyNumberFormat="1" applyFont="1" applyFill="1" applyBorder="1" applyAlignment="1">
      <alignment horizontal="right" indent="1" shrinkToFit="1"/>
    </xf>
    <xf numFmtId="1" fontId="6" fillId="0" borderId="1" xfId="0" applyNumberFormat="1" applyFont="1" applyFill="1" applyBorder="1" applyAlignment="1">
      <alignment vertical="top" shrinkToFit="1"/>
    </xf>
    <xf numFmtId="1" fontId="6" fillId="0" borderId="1" xfId="0" applyNumberFormat="1" applyFont="1" applyFill="1" applyBorder="1" applyAlignment="1">
      <alignment shrinkToFit="1"/>
    </xf>
    <xf numFmtId="1" fontId="0" fillId="0" borderId="0" xfId="0" applyNumberFormat="1" applyFont="1" applyFill="1"/>
    <xf numFmtId="1" fontId="8" fillId="0" borderId="1" xfId="0" applyNumberFormat="1" applyFont="1" applyFill="1" applyBorder="1"/>
    <xf numFmtId="1" fontId="18" fillId="0" borderId="2" xfId="0" applyNumberFormat="1" applyFont="1" applyFill="1" applyBorder="1" applyAlignment="1">
      <alignment horizontal="right" vertical="center" shrinkToFit="1"/>
    </xf>
    <xf numFmtId="1" fontId="0" fillId="0" borderId="1" xfId="0" applyNumberFormat="1" applyFont="1" applyFill="1" applyBorder="1"/>
    <xf numFmtId="1" fontId="22" fillId="0" borderId="2" xfId="0" applyNumberFormat="1" applyFont="1" applyFill="1" applyBorder="1" applyAlignment="1">
      <alignment horizontal="right" vertical="top" shrinkToFit="1"/>
    </xf>
    <xf numFmtId="1" fontId="21" fillId="0" borderId="2" xfId="0" applyNumberFormat="1" applyFont="1" applyFill="1" applyBorder="1" applyAlignment="1">
      <alignment horizontal="right" vertical="top" shrinkToFit="1"/>
    </xf>
    <xf numFmtId="1" fontId="1" fillId="0" borderId="1" xfId="0" applyNumberFormat="1" applyFont="1" applyFill="1" applyBorder="1"/>
    <xf numFmtId="1" fontId="0" fillId="0" borderId="1" xfId="0" applyNumberFormat="1" applyFont="1" applyBorder="1" applyAlignment="1">
      <alignment vertical="top"/>
    </xf>
    <xf numFmtId="1" fontId="7" fillId="0" borderId="1" xfId="0" applyNumberFormat="1" applyFont="1" applyFill="1" applyBorder="1" applyAlignment="1">
      <alignment horizontal="right"/>
    </xf>
    <xf numFmtId="168" fontId="27" fillId="0" borderId="2" xfId="0" applyNumberFormat="1" applyFont="1" applyFill="1" applyBorder="1" applyAlignment="1">
      <alignment horizontal="right" vertical="center" shrinkToFit="1"/>
    </xf>
    <xf numFmtId="1" fontId="1" fillId="0" borderId="1" xfId="0" applyNumberFormat="1" applyFont="1" applyFill="1" applyBorder="1" applyAlignment="1">
      <alignment vertical="center" wrapText="1"/>
    </xf>
    <xf numFmtId="1" fontId="4" fillId="0" borderId="0" xfId="0" applyNumberFormat="1" applyFont="1" applyFill="1"/>
    <xf numFmtId="1" fontId="0" fillId="0" borderId="0" xfId="0" applyNumberFormat="1" applyFont="1" applyFill="1" applyBorder="1"/>
    <xf numFmtId="1" fontId="0" fillId="0" borderId="1" xfId="0" applyNumberFormat="1" applyFont="1" applyBorder="1" applyAlignment="1">
      <alignment vertical="center"/>
    </xf>
    <xf numFmtId="1" fontId="16" fillId="0" borderId="2" xfId="0" applyNumberFormat="1" applyFont="1" applyFill="1" applyBorder="1" applyAlignment="1">
      <alignment horizontal="right" vertical="center" wrapText="1"/>
    </xf>
    <xf numFmtId="1" fontId="25" fillId="0" borderId="6" xfId="0" applyNumberFormat="1" applyFont="1" applyBorder="1" applyAlignment="1">
      <alignment vertical="center"/>
    </xf>
    <xf numFmtId="1" fontId="25" fillId="0" borderId="1" xfId="0" applyNumberFormat="1" applyFont="1" applyBorder="1" applyAlignment="1">
      <alignment vertical="center"/>
    </xf>
    <xf numFmtId="1" fontId="6" fillId="0" borderId="1" xfId="0" applyNumberFormat="1" applyFont="1" applyFill="1" applyBorder="1" applyAlignment="1">
      <alignment horizontal="right" vertical="center" shrinkToFit="1"/>
    </xf>
    <xf numFmtId="1" fontId="0" fillId="0" borderId="0" xfId="0" applyNumberFormat="1" applyFont="1" applyAlignment="1">
      <alignment vertical="center"/>
    </xf>
    <xf numFmtId="1" fontId="18" fillId="0" borderId="1" xfId="0" applyNumberFormat="1" applyFont="1" applyFill="1" applyBorder="1" applyAlignment="1">
      <alignment horizontal="right" shrinkToFit="1"/>
    </xf>
    <xf numFmtId="1" fontId="16" fillId="0" borderId="1" xfId="0" applyNumberFormat="1" applyFont="1" applyFill="1" applyBorder="1" applyAlignment="1">
      <alignment horizontal="right" vertical="top" wrapText="1"/>
    </xf>
    <xf numFmtId="1" fontId="16" fillId="0" borderId="7" xfId="0" applyNumberFormat="1" applyFont="1" applyFill="1" applyBorder="1" applyAlignment="1">
      <alignment horizontal="right" vertical="top" wrapText="1"/>
    </xf>
    <xf numFmtId="1" fontId="26" fillId="0" borderId="6" xfId="0" applyNumberFormat="1" applyFont="1" applyBorder="1" applyAlignment="1">
      <alignment vertical="center"/>
    </xf>
    <xf numFmtId="1" fontId="26" fillId="0" borderId="1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vertical="center"/>
    </xf>
    <xf numFmtId="1" fontId="26" fillId="0" borderId="4" xfId="0" applyNumberFormat="1" applyFont="1" applyBorder="1" applyAlignment="1">
      <alignment vertical="center"/>
    </xf>
    <xf numFmtId="1" fontId="18" fillId="0" borderId="1" xfId="0" applyNumberFormat="1" applyFont="1" applyFill="1" applyBorder="1" applyAlignment="1">
      <alignment horizontal="right" vertical="center" shrinkToFit="1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8" fillId="0" borderId="0" xfId="0" applyNumberFormat="1" applyFont="1" applyFill="1"/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9"/>
  <sheetViews>
    <sheetView workbookViewId="0">
      <pane xSplit="1" ySplit="3" topLeftCell="B4" activePane="bottomRight" state="frozen"/>
      <selection activeCell="M15" sqref="M15"/>
      <selection pane="topRight" activeCell="M15" sqref="M15"/>
      <selection pane="bottomLeft" activeCell="M15" sqref="M15"/>
      <selection pane="bottomRight" activeCell="B2" sqref="B2"/>
    </sheetView>
  </sheetViews>
  <sheetFormatPr defaultRowHeight="15" x14ac:dyDescent="0.25"/>
  <cols>
    <col min="1" max="1" width="31" style="6" customWidth="1"/>
    <col min="2" max="11" width="14.85546875" style="4" customWidth="1"/>
    <col min="12" max="13" width="14.85546875" style="10" customWidth="1"/>
    <col min="14" max="71" width="14.85546875" style="4" customWidth="1"/>
    <col min="72" max="16384" width="9.140625" style="4"/>
  </cols>
  <sheetData>
    <row r="1" spans="1:71" s="17" customFormat="1" ht="18.75" x14ac:dyDescent="0.3">
      <c r="A1" s="27" t="s">
        <v>42</v>
      </c>
    </row>
    <row r="2" spans="1:71" x14ac:dyDescent="0.25">
      <c r="A2" s="6" t="s">
        <v>43</v>
      </c>
    </row>
    <row r="3" spans="1:71" s="15" customFormat="1" x14ac:dyDescent="0.25">
      <c r="A3" s="23" t="s">
        <v>0</v>
      </c>
      <c r="B3" s="200" t="s">
        <v>1</v>
      </c>
      <c r="C3" s="200"/>
      <c r="D3" s="200" t="s">
        <v>2</v>
      </c>
      <c r="E3" s="200"/>
      <c r="F3" s="200" t="s">
        <v>3</v>
      </c>
      <c r="G3" s="200"/>
      <c r="H3" s="200" t="s">
        <v>4</v>
      </c>
      <c r="I3" s="200"/>
      <c r="J3" s="200" t="s">
        <v>5</v>
      </c>
      <c r="K3" s="200"/>
      <c r="L3" s="200" t="s">
        <v>6</v>
      </c>
      <c r="M3" s="200"/>
      <c r="N3" s="200" t="s">
        <v>7</v>
      </c>
      <c r="O3" s="200"/>
      <c r="P3" s="200" t="s">
        <v>8</v>
      </c>
      <c r="Q3" s="200"/>
      <c r="R3" s="200" t="s">
        <v>9</v>
      </c>
      <c r="S3" s="200"/>
      <c r="T3" s="200" t="s">
        <v>10</v>
      </c>
      <c r="U3" s="200"/>
      <c r="V3" s="200" t="s">
        <v>11</v>
      </c>
      <c r="W3" s="200"/>
      <c r="X3" s="200" t="s">
        <v>12</v>
      </c>
      <c r="Y3" s="200"/>
      <c r="Z3" s="200" t="s">
        <v>13</v>
      </c>
      <c r="AA3" s="200"/>
      <c r="AB3" s="200" t="s">
        <v>14</v>
      </c>
      <c r="AC3" s="200"/>
      <c r="AD3" s="200" t="s">
        <v>15</v>
      </c>
      <c r="AE3" s="200"/>
      <c r="AF3" s="200" t="s">
        <v>16</v>
      </c>
      <c r="AG3" s="200"/>
      <c r="AH3" s="200" t="s">
        <v>17</v>
      </c>
      <c r="AI3" s="200"/>
      <c r="AJ3" s="200" t="s">
        <v>18</v>
      </c>
      <c r="AK3" s="200"/>
      <c r="AL3" s="200" t="s">
        <v>19</v>
      </c>
      <c r="AM3" s="200"/>
      <c r="AN3" s="200" t="s">
        <v>20</v>
      </c>
      <c r="AO3" s="200"/>
      <c r="AP3" s="200" t="s">
        <v>21</v>
      </c>
      <c r="AQ3" s="200"/>
      <c r="AR3" s="200" t="s">
        <v>147</v>
      </c>
      <c r="AS3" s="200"/>
      <c r="AT3" s="200" t="s">
        <v>148</v>
      </c>
      <c r="AU3" s="200"/>
      <c r="AV3" s="200" t="s">
        <v>22</v>
      </c>
      <c r="AW3" s="200"/>
      <c r="AX3" s="200" t="s">
        <v>23</v>
      </c>
      <c r="AY3" s="200"/>
      <c r="AZ3" s="200" t="s">
        <v>332</v>
      </c>
      <c r="BA3" s="200"/>
      <c r="BB3" s="200" t="s">
        <v>24</v>
      </c>
      <c r="BC3" s="200"/>
      <c r="BD3" s="200" t="s">
        <v>25</v>
      </c>
      <c r="BE3" s="200"/>
      <c r="BF3" s="200" t="s">
        <v>26</v>
      </c>
      <c r="BG3" s="200"/>
      <c r="BH3" s="200" t="s">
        <v>27</v>
      </c>
      <c r="BI3" s="200"/>
      <c r="BJ3" s="200" t="s">
        <v>28</v>
      </c>
      <c r="BK3" s="200"/>
      <c r="BL3" s="200" t="s">
        <v>29</v>
      </c>
      <c r="BM3" s="200"/>
      <c r="BN3" s="200" t="s">
        <v>30</v>
      </c>
      <c r="BO3" s="200"/>
      <c r="BP3" s="200" t="s">
        <v>31</v>
      </c>
      <c r="BQ3" s="200"/>
      <c r="BR3" s="200" t="s">
        <v>250</v>
      </c>
      <c r="BS3" s="200"/>
    </row>
    <row r="4" spans="1:71" s="42" customFormat="1" ht="44.25" customHeight="1" x14ac:dyDescent="0.25">
      <c r="A4" s="43"/>
      <c r="B4" s="43" t="s">
        <v>321</v>
      </c>
      <c r="C4" s="43" t="s">
        <v>322</v>
      </c>
      <c r="D4" s="43" t="s">
        <v>321</v>
      </c>
      <c r="E4" s="43" t="s">
        <v>322</v>
      </c>
      <c r="F4" s="43" t="s">
        <v>321</v>
      </c>
      <c r="G4" s="43" t="s">
        <v>322</v>
      </c>
      <c r="H4" s="43" t="s">
        <v>321</v>
      </c>
      <c r="I4" s="43" t="s">
        <v>322</v>
      </c>
      <c r="J4" s="43" t="s">
        <v>321</v>
      </c>
      <c r="K4" s="43" t="s">
        <v>322</v>
      </c>
      <c r="L4" s="43" t="s">
        <v>321</v>
      </c>
      <c r="M4" s="43" t="s">
        <v>322</v>
      </c>
      <c r="N4" s="43" t="s">
        <v>321</v>
      </c>
      <c r="O4" s="43" t="s">
        <v>322</v>
      </c>
      <c r="P4" s="43" t="s">
        <v>321</v>
      </c>
      <c r="Q4" s="43" t="s">
        <v>322</v>
      </c>
      <c r="R4" s="43" t="s">
        <v>321</v>
      </c>
      <c r="S4" s="43" t="s">
        <v>322</v>
      </c>
      <c r="T4" s="43" t="s">
        <v>321</v>
      </c>
      <c r="U4" s="43" t="s">
        <v>322</v>
      </c>
      <c r="V4" s="43" t="s">
        <v>321</v>
      </c>
      <c r="W4" s="43" t="s">
        <v>322</v>
      </c>
      <c r="X4" s="43" t="s">
        <v>321</v>
      </c>
      <c r="Y4" s="43" t="s">
        <v>322</v>
      </c>
      <c r="Z4" s="43" t="s">
        <v>321</v>
      </c>
      <c r="AA4" s="43" t="s">
        <v>322</v>
      </c>
      <c r="AB4" s="43" t="s">
        <v>321</v>
      </c>
      <c r="AC4" s="43" t="s">
        <v>322</v>
      </c>
      <c r="AD4" s="43" t="s">
        <v>321</v>
      </c>
      <c r="AE4" s="43" t="s">
        <v>322</v>
      </c>
      <c r="AF4" s="43" t="s">
        <v>321</v>
      </c>
      <c r="AG4" s="43" t="s">
        <v>322</v>
      </c>
      <c r="AH4" s="43" t="s">
        <v>321</v>
      </c>
      <c r="AI4" s="43" t="s">
        <v>322</v>
      </c>
      <c r="AJ4" s="43" t="s">
        <v>321</v>
      </c>
      <c r="AK4" s="43" t="s">
        <v>322</v>
      </c>
      <c r="AL4" s="43" t="s">
        <v>321</v>
      </c>
      <c r="AM4" s="43" t="s">
        <v>322</v>
      </c>
      <c r="AN4" s="43" t="s">
        <v>321</v>
      </c>
      <c r="AO4" s="43" t="s">
        <v>322</v>
      </c>
      <c r="AP4" s="43" t="s">
        <v>321</v>
      </c>
      <c r="AQ4" s="43" t="s">
        <v>322</v>
      </c>
      <c r="AR4" s="43" t="s">
        <v>321</v>
      </c>
      <c r="AS4" s="43" t="s">
        <v>322</v>
      </c>
      <c r="AT4" s="43" t="s">
        <v>321</v>
      </c>
      <c r="AU4" s="43" t="s">
        <v>322</v>
      </c>
      <c r="AV4" s="43" t="s">
        <v>321</v>
      </c>
      <c r="AW4" s="43" t="s">
        <v>322</v>
      </c>
      <c r="AX4" s="43" t="s">
        <v>321</v>
      </c>
      <c r="AY4" s="43" t="s">
        <v>322</v>
      </c>
      <c r="AZ4" s="43" t="s">
        <v>321</v>
      </c>
      <c r="BA4" s="43" t="s">
        <v>322</v>
      </c>
      <c r="BB4" s="43" t="s">
        <v>321</v>
      </c>
      <c r="BC4" s="43" t="s">
        <v>322</v>
      </c>
      <c r="BD4" s="43" t="s">
        <v>321</v>
      </c>
      <c r="BE4" s="43" t="s">
        <v>322</v>
      </c>
      <c r="BF4" s="43" t="s">
        <v>321</v>
      </c>
      <c r="BG4" s="43" t="s">
        <v>322</v>
      </c>
      <c r="BH4" s="43" t="s">
        <v>321</v>
      </c>
      <c r="BI4" s="43" t="s">
        <v>322</v>
      </c>
      <c r="BJ4" s="43" t="s">
        <v>321</v>
      </c>
      <c r="BK4" s="43" t="s">
        <v>322</v>
      </c>
      <c r="BL4" s="43" t="s">
        <v>321</v>
      </c>
      <c r="BM4" s="43" t="s">
        <v>322</v>
      </c>
      <c r="BN4" s="43" t="s">
        <v>321</v>
      </c>
      <c r="BO4" s="43" t="s">
        <v>322</v>
      </c>
      <c r="BP4" s="43" t="s">
        <v>321</v>
      </c>
      <c r="BQ4" s="43" t="s">
        <v>322</v>
      </c>
      <c r="BR4" s="43" t="s">
        <v>321</v>
      </c>
      <c r="BS4" s="43" t="s">
        <v>322</v>
      </c>
    </row>
    <row r="5" spans="1:71" x14ac:dyDescent="0.25">
      <c r="A5" s="25" t="s">
        <v>32</v>
      </c>
      <c r="B5" s="21">
        <v>257661</v>
      </c>
      <c r="C5" s="21">
        <v>488110</v>
      </c>
      <c r="D5" s="21">
        <v>1183664</v>
      </c>
      <c r="E5" s="21">
        <v>3482280</v>
      </c>
      <c r="F5" s="21">
        <v>2599397</v>
      </c>
      <c r="G5" s="21">
        <v>16516572</v>
      </c>
      <c r="H5" s="21">
        <v>7040994</v>
      </c>
      <c r="I5" s="21">
        <v>16728993</v>
      </c>
      <c r="J5" s="21">
        <v>19173688</v>
      </c>
      <c r="K5" s="21">
        <v>70097769</v>
      </c>
      <c r="L5" s="128">
        <v>3674982</v>
      </c>
      <c r="M5" s="128">
        <v>13989821</v>
      </c>
      <c r="N5" s="21">
        <f>55539+208305+7636004</f>
        <v>7899848</v>
      </c>
      <c r="O5" s="21">
        <f>184285+926409+29388248</f>
        <v>30498942</v>
      </c>
      <c r="P5" s="21">
        <v>1146829</v>
      </c>
      <c r="Q5" s="21">
        <v>3925174</v>
      </c>
      <c r="R5" s="21">
        <v>255854</v>
      </c>
      <c r="S5" s="21">
        <v>1083125</v>
      </c>
      <c r="T5" s="21">
        <v>169500</v>
      </c>
      <c r="U5" s="21">
        <v>288143</v>
      </c>
      <c r="V5" s="21">
        <v>2630855.4300000002</v>
      </c>
      <c r="W5" s="21">
        <v>8544228.0399999991</v>
      </c>
      <c r="X5" s="21">
        <v>4316244</v>
      </c>
      <c r="Y5" s="21">
        <v>15747148</v>
      </c>
      <c r="Z5" s="21">
        <v>2732746</v>
      </c>
      <c r="AA5" s="21">
        <v>4999769</v>
      </c>
      <c r="AB5" s="21">
        <v>9731903</v>
      </c>
      <c r="AC5" s="21">
        <v>38100107</v>
      </c>
      <c r="AD5" s="21">
        <v>21974696</v>
      </c>
      <c r="AE5" s="21">
        <v>83753478</v>
      </c>
      <c r="AF5" s="21">
        <f>212201+151235+9548868</f>
        <v>9912304</v>
      </c>
      <c r="AG5" s="21">
        <f>683071+471315+39148797</f>
        <v>40303183</v>
      </c>
      <c r="AH5" s="21">
        <v>583222</v>
      </c>
      <c r="AI5" s="21">
        <v>1973547</v>
      </c>
      <c r="AJ5" s="21">
        <f>54678+7676+2279764</f>
        <v>2342118</v>
      </c>
      <c r="AK5" s="21">
        <f>163256+37497+7853662</f>
        <v>8054415</v>
      </c>
      <c r="AL5" s="21">
        <v>1882174</v>
      </c>
      <c r="AM5" s="21">
        <v>3849464</v>
      </c>
      <c r="AN5" s="21">
        <v>2289900</v>
      </c>
      <c r="AO5" s="21">
        <v>6594788</v>
      </c>
      <c r="AP5" s="21">
        <v>29401977.200487964</v>
      </c>
      <c r="AQ5" s="21">
        <v>104002258.42189917</v>
      </c>
      <c r="AR5" s="21">
        <v>56118711</v>
      </c>
      <c r="AS5" s="21">
        <v>214875919</v>
      </c>
      <c r="AT5" s="21">
        <f>457620+1331699+29427184</f>
        <v>31216503</v>
      </c>
      <c r="AU5" s="21">
        <f>2083963+6019541+97911755</f>
        <v>106015259</v>
      </c>
      <c r="AV5" s="21">
        <v>250251</v>
      </c>
      <c r="AW5" s="21">
        <v>895665</v>
      </c>
      <c r="AX5" s="21">
        <f>16055+314324+9390996</f>
        <v>9721375</v>
      </c>
      <c r="AY5" s="21">
        <f>57903+1038377+34226215</f>
        <v>35322495</v>
      </c>
      <c r="AZ5" s="21">
        <v>11113</v>
      </c>
      <c r="BA5" s="21">
        <v>13580</v>
      </c>
      <c r="BB5" s="21">
        <v>3191973</v>
      </c>
      <c r="BC5" s="21">
        <v>10912035</v>
      </c>
      <c r="BD5" s="21">
        <f>43114+88587+5400931</f>
        <v>5532632</v>
      </c>
      <c r="BE5" s="21">
        <f>183509+308193+21370189</f>
        <v>21861891</v>
      </c>
      <c r="BF5" s="21">
        <v>5932388</v>
      </c>
      <c r="BG5" s="21">
        <v>23883837</v>
      </c>
      <c r="BH5" s="21">
        <v>5273443</v>
      </c>
      <c r="BI5" s="21">
        <v>20594278</v>
      </c>
      <c r="BJ5" s="21">
        <v>14493702</v>
      </c>
      <c r="BK5" s="21">
        <v>36623738</v>
      </c>
      <c r="BL5" s="21">
        <v>12577169</v>
      </c>
      <c r="BM5" s="21">
        <v>45782143</v>
      </c>
      <c r="BN5" s="21">
        <v>40982694</v>
      </c>
      <c r="BO5" s="21">
        <v>131045080</v>
      </c>
      <c r="BP5" s="21">
        <f>15041+160927+2862712</f>
        <v>3038680</v>
      </c>
      <c r="BQ5" s="21">
        <f>55530+582423+11852640</f>
        <v>12490593</v>
      </c>
      <c r="BR5" s="21">
        <f t="shared" ref="BR5:BR13" si="0">B5+D5+F5+H5+J5+L5+N5+P5+R5+T5+V5+X5+Z5+AB5+AD5+AF5+AH5+AJ5+AL5+AN5+AP5+AR5+AT5+AV5+AX5+BB5+BD5+BF5+BH5+BJ5+BL5+BN5+BP5</f>
        <v>319530077.63048798</v>
      </c>
      <c r="BS5" s="21">
        <f t="shared" ref="BS5:BS13" si="1">C5+E5+G5+I5+K5+M5+O5+Q5+S5+U5+W5+Y5+AA5+AC5+AE5+AG5+AI5+AK5+AM5+AO5+AQ5+AS5+AU5+AW5+AY5+BC5+BE5+BG5+BI5+BK5+BM5+BO5+BQ5</f>
        <v>1133324247.4618993</v>
      </c>
    </row>
    <row r="6" spans="1:71" ht="30" x14ac:dyDescent="0.25">
      <c r="A6" s="25" t="s">
        <v>33</v>
      </c>
      <c r="B6" s="21">
        <v>2829</v>
      </c>
      <c r="C6" s="21">
        <v>4604</v>
      </c>
      <c r="D6" s="21">
        <v>6572</v>
      </c>
      <c r="E6" s="21">
        <v>17223</v>
      </c>
      <c r="F6" s="21">
        <v>350</v>
      </c>
      <c r="G6" s="21">
        <v>2999</v>
      </c>
      <c r="H6" s="21">
        <v>23254</v>
      </c>
      <c r="I6" s="21">
        <v>66471</v>
      </c>
      <c r="J6" s="21">
        <v>-72854</v>
      </c>
      <c r="K6" s="21">
        <v>700988</v>
      </c>
      <c r="L6" s="157">
        <v>37017</v>
      </c>
      <c r="M6" s="128">
        <v>150869</v>
      </c>
      <c r="N6" s="21">
        <f>-68+1349+40192</f>
        <v>41473</v>
      </c>
      <c r="O6" s="21">
        <f>474+7473+199164</f>
        <v>207111</v>
      </c>
      <c r="P6" s="21">
        <v>2903</v>
      </c>
      <c r="Q6" s="21">
        <v>11649</v>
      </c>
      <c r="R6" s="21">
        <v>3627</v>
      </c>
      <c r="S6" s="21">
        <v>13321</v>
      </c>
      <c r="T6" s="21">
        <v>5869</v>
      </c>
      <c r="U6" s="21">
        <v>2421</v>
      </c>
      <c r="V6" s="21">
        <f>-119971.39+3991.52</f>
        <v>-115979.87</v>
      </c>
      <c r="W6" s="21">
        <f>-119971.39+384217.56</f>
        <v>264246.17</v>
      </c>
      <c r="X6" s="21">
        <v>15298</v>
      </c>
      <c r="Y6" s="21">
        <v>63492</v>
      </c>
      <c r="Z6" s="21">
        <v>15461</v>
      </c>
      <c r="AA6" s="21">
        <f>-5329+26706</f>
        <v>21377</v>
      </c>
      <c r="AB6" s="21">
        <v>127781</v>
      </c>
      <c r="AC6" s="21">
        <v>578999</v>
      </c>
      <c r="AD6" s="21">
        <v>437885</v>
      </c>
      <c r="AE6" s="21">
        <v>3190350</v>
      </c>
      <c r="AF6" s="21">
        <f>225+442+18969</f>
        <v>19636</v>
      </c>
      <c r="AG6" s="21">
        <f>1580+2317+112066</f>
        <v>115963</v>
      </c>
      <c r="AH6" s="21">
        <v>5849</v>
      </c>
      <c r="AI6" s="21">
        <v>11915</v>
      </c>
      <c r="AJ6" s="21">
        <f>157+220+7671</f>
        <v>8048</v>
      </c>
      <c r="AK6" s="21">
        <f>480+773+20957</f>
        <v>22210</v>
      </c>
      <c r="AL6" s="21">
        <v>38031</v>
      </c>
      <c r="AM6" s="21">
        <v>77894</v>
      </c>
      <c r="AN6" s="21">
        <v>4249</v>
      </c>
      <c r="AO6" s="21">
        <v>22289</v>
      </c>
      <c r="AP6" s="21">
        <v>5113316</v>
      </c>
      <c r="AQ6" s="21">
        <v>13995426</v>
      </c>
      <c r="AR6" s="21">
        <v>5314688</v>
      </c>
      <c r="AS6" s="21">
        <v>18241478</v>
      </c>
      <c r="AT6" s="38">
        <f>212656+602715+4419253</f>
        <v>5234624</v>
      </c>
      <c r="AU6" s="38">
        <f>502435+1466967+14222880</f>
        <v>16192282</v>
      </c>
      <c r="AV6" s="21">
        <v>975</v>
      </c>
      <c r="AW6" s="21">
        <v>5164</v>
      </c>
      <c r="AX6" s="21">
        <f>351+4413+116740</f>
        <v>121504</v>
      </c>
      <c r="AY6" s="21">
        <f>1057+11433+307248</f>
        <v>319738</v>
      </c>
      <c r="AZ6" s="21">
        <v>95</v>
      </c>
      <c r="BA6" s="21">
        <v>134</v>
      </c>
      <c r="BB6" s="21">
        <v>14285</v>
      </c>
      <c r="BC6" s="21">
        <v>42071</v>
      </c>
      <c r="BD6" s="21">
        <f>213+774+22264</f>
        <v>23251</v>
      </c>
      <c r="BE6" s="21">
        <f>1146+5677+166766</f>
        <v>173589</v>
      </c>
      <c r="BF6" s="21">
        <v>78392</v>
      </c>
      <c r="BG6" s="21">
        <v>278900</v>
      </c>
      <c r="BH6" s="21">
        <v>10365</v>
      </c>
      <c r="BI6" s="21">
        <v>458627</v>
      </c>
      <c r="BJ6" s="21">
        <v>-329</v>
      </c>
      <c r="BK6" s="21">
        <v>4852</v>
      </c>
      <c r="BL6" s="21">
        <v>-96554</v>
      </c>
      <c r="BM6" s="21">
        <v>395393</v>
      </c>
      <c r="BN6" s="21">
        <v>4565053</v>
      </c>
      <c r="BO6" s="21">
        <v>12738400</v>
      </c>
      <c r="BP6" s="21">
        <f>105+2295+27197</f>
        <v>29597</v>
      </c>
      <c r="BQ6" s="21">
        <f>-77-1991-20972</f>
        <v>-23040</v>
      </c>
      <c r="BR6" s="21">
        <f t="shared" si="0"/>
        <v>21016465.129999999</v>
      </c>
      <c r="BS6" s="21">
        <f t="shared" si="1"/>
        <v>68369271.170000002</v>
      </c>
    </row>
    <row r="7" spans="1:71" x14ac:dyDescent="0.25">
      <c r="A7" s="25" t="s">
        <v>145</v>
      </c>
      <c r="B7" s="21"/>
      <c r="C7" s="21"/>
      <c r="D7" s="21">
        <f>-1407+597</f>
        <v>-810</v>
      </c>
      <c r="E7" s="21">
        <f>-6624+597</f>
        <v>-6027</v>
      </c>
      <c r="F7" s="21">
        <v>29739</v>
      </c>
      <c r="G7" s="21">
        <v>191610</v>
      </c>
      <c r="H7" s="21">
        <v>10641</v>
      </c>
      <c r="I7" s="21">
        <v>43216</v>
      </c>
      <c r="J7" s="21">
        <f>369037+81320</f>
        <v>450357</v>
      </c>
      <c r="K7" s="21">
        <f>26751+186309</f>
        <v>213060</v>
      </c>
      <c r="L7" s="44">
        <f>L9-L8-L6-L5</f>
        <v>21026</v>
      </c>
      <c r="M7" s="44">
        <f>M9-M8-M6-M5</f>
        <v>46816</v>
      </c>
      <c r="N7" s="21">
        <f>N9-N8-N6-N5</f>
        <v>18029</v>
      </c>
      <c r="O7" s="21">
        <f>O9-O8-O6-O5</f>
        <v>80837</v>
      </c>
      <c r="P7" s="21"/>
      <c r="Q7" s="21"/>
      <c r="R7" s="21">
        <v>1</v>
      </c>
      <c r="S7" s="21">
        <v>1</v>
      </c>
      <c r="T7" s="21">
        <f>T9-T8-T6-T5</f>
        <v>609</v>
      </c>
      <c r="U7" s="21">
        <f>U9-U8-U6-U5</f>
        <v>1452</v>
      </c>
      <c r="V7" s="21">
        <f>V9-V8-V6-V5</f>
        <v>6060.3400000003166</v>
      </c>
      <c r="W7" s="21">
        <f>W9-W8-W6-W5</f>
        <v>23438.900000000373</v>
      </c>
      <c r="X7" s="21">
        <v>14141</v>
      </c>
      <c r="Y7" s="21">
        <v>15377</v>
      </c>
      <c r="Z7" s="21"/>
      <c r="AA7" s="21">
        <v>50</v>
      </c>
      <c r="AB7" s="21">
        <f>AB9-AB8-AB6-AB5</f>
        <v>-11012</v>
      </c>
      <c r="AC7" s="21">
        <f>AC9-AC8-AC6-AC5</f>
        <v>-25037</v>
      </c>
      <c r="AD7" s="21">
        <f>16273+64959+11245</f>
        <v>92477</v>
      </c>
      <c r="AE7" s="21">
        <f>73671+297262+42583</f>
        <v>413516</v>
      </c>
      <c r="AF7" s="21">
        <f>-2702-134-219+679-1421-2870</f>
        <v>-6667</v>
      </c>
      <c r="AG7" s="21">
        <f>-4097-134-241+3708-948-2508</f>
        <v>-4220</v>
      </c>
      <c r="AH7" s="38">
        <v>30</v>
      </c>
      <c r="AI7" s="21">
        <v>106</v>
      </c>
      <c r="AJ7" s="21"/>
      <c r="AK7" s="21"/>
      <c r="AL7" s="21">
        <v>2421</v>
      </c>
      <c r="AM7" s="21">
        <v>10476</v>
      </c>
      <c r="AN7" s="21">
        <v>14955</v>
      </c>
      <c r="AO7" s="21">
        <v>43975</v>
      </c>
      <c r="AP7" s="21">
        <v>0</v>
      </c>
      <c r="AQ7" s="21">
        <v>0</v>
      </c>
      <c r="AR7" s="21"/>
      <c r="AS7" s="21"/>
      <c r="AT7" s="21">
        <f>146802-61927-539560</f>
        <v>-454685</v>
      </c>
      <c r="AU7" s="21">
        <f>131307-99163-982564</f>
        <v>-950420</v>
      </c>
      <c r="AV7" s="21">
        <f>-255+932</f>
        <v>677</v>
      </c>
      <c r="AW7" s="21">
        <f>2092-124</f>
        <v>1968</v>
      </c>
      <c r="AX7" s="21">
        <f>582-327</f>
        <v>255</v>
      </c>
      <c r="AY7" s="21">
        <f>572+29079</f>
        <v>29651</v>
      </c>
      <c r="AZ7" s="21"/>
      <c r="BA7" s="21"/>
      <c r="BB7" s="21">
        <v>1794832</v>
      </c>
      <c r="BC7" s="21">
        <v>1794832</v>
      </c>
      <c r="BD7" s="21">
        <v>2168</v>
      </c>
      <c r="BE7" s="21">
        <v>3903</v>
      </c>
      <c r="BF7" s="21">
        <f>BF9-BF8-BF6-BF5</f>
        <v>-210641</v>
      </c>
      <c r="BG7" s="21">
        <f>BG9-BG8-BG6-BG5</f>
        <v>-599144</v>
      </c>
      <c r="BH7" s="21">
        <v>6153</v>
      </c>
      <c r="BI7" s="21">
        <v>28694</v>
      </c>
      <c r="BJ7" s="21"/>
      <c r="BK7" s="21"/>
      <c r="BL7" s="21">
        <f>BL9-BL8-BL6-BL5</f>
        <v>111412</v>
      </c>
      <c r="BM7" s="21">
        <f>BM9-BM8-BM6-BM5</f>
        <v>73373</v>
      </c>
      <c r="BN7" s="21">
        <v>4075</v>
      </c>
      <c r="BO7" s="21">
        <v>14371</v>
      </c>
      <c r="BP7" s="21">
        <f>3249-751-21-6282+197</f>
        <v>-3608</v>
      </c>
      <c r="BQ7" s="21">
        <f>12536-3070-119-32339+2799</f>
        <v>-20193</v>
      </c>
      <c r="BR7" s="21">
        <f t="shared" si="0"/>
        <v>1892635.3400000003</v>
      </c>
      <c r="BS7" s="21">
        <f t="shared" si="1"/>
        <v>1425681.9000000004</v>
      </c>
    </row>
    <row r="8" spans="1:71" x14ac:dyDescent="0.25">
      <c r="A8" s="25" t="s">
        <v>34</v>
      </c>
      <c r="B8" s="21">
        <v>-7442</v>
      </c>
      <c r="C8" s="21">
        <v>31821</v>
      </c>
      <c r="D8" s="21">
        <v>55543</v>
      </c>
      <c r="E8" s="21">
        <v>174076</v>
      </c>
      <c r="F8" s="21">
        <v>600465</v>
      </c>
      <c r="G8" s="21">
        <v>3171956</v>
      </c>
      <c r="H8" s="21">
        <v>220153</v>
      </c>
      <c r="I8" s="21">
        <v>784680</v>
      </c>
      <c r="J8" s="21">
        <v>2309143</v>
      </c>
      <c r="K8" s="21">
        <v>8570844</v>
      </c>
      <c r="L8" s="128">
        <v>623993</v>
      </c>
      <c r="M8" s="128">
        <v>2348640</v>
      </c>
      <c r="N8" s="21">
        <f>-390+41982+1206857</f>
        <v>1248449</v>
      </c>
      <c r="O8" s="21">
        <f>10325+162947+4371984</f>
        <v>4545256</v>
      </c>
      <c r="P8" s="21">
        <v>64840</v>
      </c>
      <c r="Q8" s="21">
        <v>236818</v>
      </c>
      <c r="R8" s="21">
        <v>27959</v>
      </c>
      <c r="S8" s="21">
        <v>88866</v>
      </c>
      <c r="T8" s="21">
        <v>4557</v>
      </c>
      <c r="U8" s="21">
        <v>10553</v>
      </c>
      <c r="V8" s="21">
        <v>1261570.28</v>
      </c>
      <c r="W8" s="21">
        <v>4666480.95</v>
      </c>
      <c r="X8" s="21">
        <v>621700</v>
      </c>
      <c r="Y8" s="21">
        <v>2215659</v>
      </c>
      <c r="Z8" s="21">
        <v>119609</v>
      </c>
      <c r="AA8" s="21">
        <v>237369</v>
      </c>
      <c r="AB8" s="21">
        <v>1531491</v>
      </c>
      <c r="AC8" s="21">
        <v>5164143</v>
      </c>
      <c r="AD8" s="21">
        <v>2691959</v>
      </c>
      <c r="AE8" s="21">
        <v>10164840</v>
      </c>
      <c r="AF8" s="21">
        <f>14076+24254+1094934</f>
        <v>1133264</v>
      </c>
      <c r="AG8" s="21">
        <f>58222+85366+4128706</f>
        <v>4272294</v>
      </c>
      <c r="AH8" s="21">
        <v>58176</v>
      </c>
      <c r="AI8" s="21">
        <v>184809</v>
      </c>
      <c r="AJ8" s="21">
        <f>6018+8274+294169</f>
        <v>308461</v>
      </c>
      <c r="AK8" s="21">
        <f>18491+40395+807762</f>
        <v>866648</v>
      </c>
      <c r="AL8" s="21">
        <v>268095</v>
      </c>
      <c r="AM8" s="21">
        <v>841842</v>
      </c>
      <c r="AN8" s="21">
        <v>80071</v>
      </c>
      <c r="AO8" s="21">
        <v>270855</v>
      </c>
      <c r="AP8" s="21">
        <v>3194778</v>
      </c>
      <c r="AQ8" s="21">
        <v>12835997</v>
      </c>
      <c r="AR8" s="21">
        <v>4852136</v>
      </c>
      <c r="AS8" s="21">
        <v>20509270</v>
      </c>
      <c r="AT8" s="38">
        <f>117993+331170+2166302</f>
        <v>2615465</v>
      </c>
      <c r="AU8" s="38">
        <f>330503+964974+9355844</f>
        <v>10651321</v>
      </c>
      <c r="AV8" s="21">
        <v>37194</v>
      </c>
      <c r="AW8" s="21">
        <v>148253</v>
      </c>
      <c r="AX8" s="21">
        <f>3970+56250+1470866</f>
        <v>1531086</v>
      </c>
      <c r="AY8" s="21">
        <f>19474+210587+5659225</f>
        <v>5889286</v>
      </c>
      <c r="AZ8" s="21">
        <v>327</v>
      </c>
      <c r="BA8" s="21">
        <v>386</v>
      </c>
      <c r="BB8" s="21">
        <v>208162</v>
      </c>
      <c r="BC8" s="21">
        <v>697718</v>
      </c>
      <c r="BD8" s="21">
        <f>5342+32510+712940</f>
        <v>750792</v>
      </c>
      <c r="BE8" s="21">
        <f>17245+128911+2699561</f>
        <v>2845717</v>
      </c>
      <c r="BF8" s="21">
        <v>997633</v>
      </c>
      <c r="BG8" s="21">
        <v>3118195</v>
      </c>
      <c r="BH8" s="21">
        <v>1628841</v>
      </c>
      <c r="BI8" s="21">
        <v>6165625</v>
      </c>
      <c r="BJ8" s="21">
        <v>256851</v>
      </c>
      <c r="BK8" s="21">
        <v>1148201</v>
      </c>
      <c r="BL8" s="21">
        <v>1386443</v>
      </c>
      <c r="BM8" s="21">
        <v>4712852</v>
      </c>
      <c r="BN8" s="21">
        <v>4501380</v>
      </c>
      <c r="BO8" s="21">
        <v>17074743</v>
      </c>
      <c r="BP8" s="21">
        <f>1321+42219+384649</f>
        <v>428189</v>
      </c>
      <c r="BQ8" s="21">
        <f>4942+127603+1344229</f>
        <v>1476774</v>
      </c>
      <c r="BR8" s="21">
        <f t="shared" si="0"/>
        <v>35611006.280000001</v>
      </c>
      <c r="BS8" s="21">
        <f t="shared" si="1"/>
        <v>136122401.94999999</v>
      </c>
    </row>
    <row r="9" spans="1:71" s="15" customFormat="1" x14ac:dyDescent="0.25">
      <c r="A9" s="23" t="s">
        <v>35</v>
      </c>
      <c r="B9" s="24">
        <v>253047</v>
      </c>
      <c r="C9" s="24">
        <v>524535</v>
      </c>
      <c r="D9" s="24">
        <v>1244968</v>
      </c>
      <c r="E9" s="24">
        <v>3667552</v>
      </c>
      <c r="F9" s="24">
        <v>3229951</v>
      </c>
      <c r="G9" s="24">
        <v>19883137</v>
      </c>
      <c r="H9" s="24">
        <v>7295042</v>
      </c>
      <c r="I9" s="24">
        <v>17623360</v>
      </c>
      <c r="J9" s="24">
        <v>21860334</v>
      </c>
      <c r="K9" s="24">
        <v>79582661</v>
      </c>
      <c r="L9" s="158">
        <v>4357018</v>
      </c>
      <c r="M9" s="158">
        <v>16536146</v>
      </c>
      <c r="N9" s="24">
        <f>55255+265866+8886678</f>
        <v>9207799</v>
      </c>
      <c r="O9" s="24">
        <f>195668+1159778+33976700</f>
        <v>35332146</v>
      </c>
      <c r="P9" s="24">
        <v>1214573</v>
      </c>
      <c r="Q9" s="24">
        <v>4173641</v>
      </c>
      <c r="R9" s="24">
        <v>287441</v>
      </c>
      <c r="S9" s="24">
        <v>1185313</v>
      </c>
      <c r="T9" s="24">
        <v>180535</v>
      </c>
      <c r="U9" s="24">
        <v>302569</v>
      </c>
      <c r="V9" s="24">
        <v>3782506.18</v>
      </c>
      <c r="W9" s="24">
        <v>13498394.060000001</v>
      </c>
      <c r="X9" s="24">
        <v>4967383</v>
      </c>
      <c r="Y9" s="24">
        <v>18041676</v>
      </c>
      <c r="Z9" s="24">
        <v>2867816</v>
      </c>
      <c r="AA9" s="24">
        <v>5258565</v>
      </c>
      <c r="AB9" s="24">
        <v>11380163</v>
      </c>
      <c r="AC9" s="24">
        <v>43818212</v>
      </c>
      <c r="AD9" s="24">
        <v>25197017</v>
      </c>
      <c r="AE9" s="24">
        <v>97522184</v>
      </c>
      <c r="AF9" s="24">
        <f>226283+173095+10659159</f>
        <v>11058537</v>
      </c>
      <c r="AG9" s="24">
        <f>742632+554767+43389821</f>
        <v>44687220</v>
      </c>
      <c r="AH9" s="24">
        <v>647277</v>
      </c>
      <c r="AI9" s="24">
        <v>2170377</v>
      </c>
      <c r="AJ9" s="24">
        <f>60853+16170+2581604</f>
        <v>2658627</v>
      </c>
      <c r="AK9" s="24">
        <f>182227+78664+8682381</f>
        <v>8943272</v>
      </c>
      <c r="AL9" s="24">
        <v>2190721</v>
      </c>
      <c r="AM9" s="24">
        <v>4779676</v>
      </c>
      <c r="AN9" s="24">
        <v>2389174</v>
      </c>
      <c r="AO9" s="24">
        <v>6931907</v>
      </c>
      <c r="AP9" s="24">
        <v>37710071.200487964</v>
      </c>
      <c r="AQ9" s="24">
        <v>130833681.42189917</v>
      </c>
      <c r="AR9" s="24">
        <v>66285534</v>
      </c>
      <c r="AS9" s="24">
        <v>253626667</v>
      </c>
      <c r="AT9" s="24">
        <f>935071+2203657+35473179</f>
        <v>38611907</v>
      </c>
      <c r="AU9" s="24">
        <f>3048208+8352319+120507915</f>
        <v>131908442</v>
      </c>
      <c r="AV9" s="24">
        <v>289098</v>
      </c>
      <c r="AW9" s="24">
        <v>1051050</v>
      </c>
      <c r="AX9" s="24">
        <f>AX5+AX6+AX7+AX8</f>
        <v>11374220</v>
      </c>
      <c r="AY9" s="24">
        <f>AY5+AY6+AY7+AY8</f>
        <v>41561170</v>
      </c>
      <c r="AZ9" s="24">
        <v>11535</v>
      </c>
      <c r="BA9" s="24">
        <v>14100</v>
      </c>
      <c r="BB9" s="24">
        <v>5209253</v>
      </c>
      <c r="BC9" s="24">
        <v>13446657</v>
      </c>
      <c r="BD9" s="24">
        <f>48669+121871+6138303</f>
        <v>6308843</v>
      </c>
      <c r="BE9" s="24">
        <f>201900+442781+24240419</f>
        <v>24885100</v>
      </c>
      <c r="BF9" s="24">
        <v>6797772</v>
      </c>
      <c r="BG9" s="24">
        <v>26681788</v>
      </c>
      <c r="BH9" s="24">
        <v>6918801</v>
      </c>
      <c r="BI9" s="24">
        <v>27247224</v>
      </c>
      <c r="BJ9" s="24">
        <v>14750224</v>
      </c>
      <c r="BK9" s="24">
        <v>37776791</v>
      </c>
      <c r="BL9" s="24">
        <v>13978470</v>
      </c>
      <c r="BM9" s="24">
        <v>50963761</v>
      </c>
      <c r="BN9" s="24">
        <v>50053202</v>
      </c>
      <c r="BO9" s="24">
        <v>160872594</v>
      </c>
      <c r="BP9" s="24">
        <f>16446+207939+3268473</f>
        <v>3492858</v>
      </c>
      <c r="BQ9" s="24">
        <f>60276+717501+13146357</f>
        <v>13924134</v>
      </c>
      <c r="BR9" s="24">
        <f t="shared" si="0"/>
        <v>378050182.38048798</v>
      </c>
      <c r="BS9" s="24">
        <f t="shared" si="1"/>
        <v>1339241602.4818993</v>
      </c>
    </row>
    <row r="10" spans="1:71" x14ac:dyDescent="0.25">
      <c r="A10" s="25" t="s">
        <v>36</v>
      </c>
      <c r="B10" s="21">
        <v>184276</v>
      </c>
      <c r="C10" s="21">
        <v>286097</v>
      </c>
      <c r="D10" s="21">
        <v>680205</v>
      </c>
      <c r="E10" s="21">
        <v>2041111</v>
      </c>
      <c r="F10" s="21">
        <v>1817131</v>
      </c>
      <c r="G10" s="21">
        <v>15236371</v>
      </c>
      <c r="H10" s="21">
        <v>3040987</v>
      </c>
      <c r="I10" s="21">
        <v>10470933</v>
      </c>
      <c r="J10" s="21">
        <v>14481181</v>
      </c>
      <c r="K10" s="21">
        <v>48104104</v>
      </c>
      <c r="L10" s="128">
        <v>2736085</v>
      </c>
      <c r="M10" s="128">
        <v>10766793</v>
      </c>
      <c r="N10" s="21">
        <f>4490+32916+6155288</f>
        <v>6192694</v>
      </c>
      <c r="O10" s="21">
        <f>108667+369535+22876793</f>
        <v>23354995</v>
      </c>
      <c r="P10" s="21">
        <v>665580</v>
      </c>
      <c r="Q10" s="21">
        <v>2431393</v>
      </c>
      <c r="R10" s="21">
        <v>128349</v>
      </c>
      <c r="S10" s="21">
        <v>307676</v>
      </c>
      <c r="T10" s="21">
        <v>203538</v>
      </c>
      <c r="U10" s="21">
        <v>353082</v>
      </c>
      <c r="V10" s="21">
        <v>2240336.15</v>
      </c>
      <c r="W10" s="21">
        <v>11411619.58</v>
      </c>
      <c r="X10" s="21">
        <v>3388506</v>
      </c>
      <c r="Y10" s="21">
        <v>10830490</v>
      </c>
      <c r="Z10" s="21">
        <v>2309051</v>
      </c>
      <c r="AA10" s="21">
        <v>3941103</v>
      </c>
      <c r="AB10" s="21">
        <v>7113936</v>
      </c>
      <c r="AC10" s="21">
        <v>29091815</v>
      </c>
      <c r="AD10" s="21">
        <v>15746558</v>
      </c>
      <c r="AE10" s="21">
        <v>63081176</v>
      </c>
      <c r="AF10" s="21">
        <f>153027+124736+8345310</f>
        <v>8623073</v>
      </c>
      <c r="AG10" s="21">
        <f>413107+305815+34863307</f>
        <v>35582229</v>
      </c>
      <c r="AH10" s="21">
        <v>374638</v>
      </c>
      <c r="AI10" s="21">
        <v>1343200</v>
      </c>
      <c r="AJ10" s="21">
        <f>54593+34038+1825897</f>
        <v>1914528</v>
      </c>
      <c r="AK10" s="21">
        <f>194193+79502+5636795</f>
        <v>5910490</v>
      </c>
      <c r="AL10" s="21">
        <v>1656055</v>
      </c>
      <c r="AM10" s="21">
        <v>2716851</v>
      </c>
      <c r="AN10" s="21">
        <v>917267</v>
      </c>
      <c r="AO10" s="21">
        <v>3556426</v>
      </c>
      <c r="AP10" s="21">
        <v>31955672.165999971</v>
      </c>
      <c r="AQ10" s="21">
        <v>114340259.64100006</v>
      </c>
      <c r="AR10" s="21">
        <v>52450242</v>
      </c>
      <c r="AS10" s="21">
        <v>204967026</v>
      </c>
      <c r="AT10" s="38">
        <f>264692+1610078+26341156</f>
        <v>28215926</v>
      </c>
      <c r="AU10" s="38">
        <f>1388957+6771648+104320224</f>
        <v>112480829</v>
      </c>
      <c r="AV10" s="21">
        <v>149461</v>
      </c>
      <c r="AW10" s="21">
        <v>747845</v>
      </c>
      <c r="AX10" s="21">
        <f>18289+102049+8113140</f>
        <v>8233478</v>
      </c>
      <c r="AY10" s="21">
        <f>130162+564240+29618635</f>
        <v>30313037</v>
      </c>
      <c r="AZ10" s="21">
        <v>1736</v>
      </c>
      <c r="BA10" s="21">
        <v>1843</v>
      </c>
      <c r="BB10" s="21">
        <v>1605348</v>
      </c>
      <c r="BC10" s="21">
        <v>6026714</v>
      </c>
      <c r="BD10" s="21">
        <f>71740+56173+4606503</f>
        <v>4734416</v>
      </c>
      <c r="BE10" s="21">
        <f>158383+240407+18149729</f>
        <v>18548519</v>
      </c>
      <c r="BF10" s="21">
        <v>3655314</v>
      </c>
      <c r="BG10" s="21">
        <v>17205712</v>
      </c>
      <c r="BH10" s="21">
        <v>873852</v>
      </c>
      <c r="BI10" s="21">
        <v>14063206</v>
      </c>
      <c r="BJ10" s="21">
        <v>6464123</v>
      </c>
      <c r="BK10" s="21">
        <v>22975895</v>
      </c>
      <c r="BL10" s="21">
        <v>10421575</v>
      </c>
      <c r="BM10" s="21">
        <v>35863664</v>
      </c>
      <c r="BN10" s="21">
        <v>35396915</v>
      </c>
      <c r="BO10" s="21">
        <v>143360899</v>
      </c>
      <c r="BP10" s="21">
        <f>11939+26300+847958</f>
        <v>886197</v>
      </c>
      <c r="BQ10" s="21">
        <f>49958+207396+8539383</f>
        <v>8796737</v>
      </c>
      <c r="BR10" s="21">
        <f t="shared" si="0"/>
        <v>259456493.31599998</v>
      </c>
      <c r="BS10" s="21">
        <f t="shared" si="1"/>
        <v>1010508297.2210001</v>
      </c>
    </row>
    <row r="11" spans="1:71" x14ac:dyDescent="0.25">
      <c r="A11" s="25" t="s">
        <v>37</v>
      </c>
      <c r="B11" s="21">
        <v>843</v>
      </c>
      <c r="C11" s="21">
        <v>-24674</v>
      </c>
      <c r="D11" s="21">
        <v>176047</v>
      </c>
      <c r="E11" s="21">
        <v>474513</v>
      </c>
      <c r="F11" s="21">
        <v>-891702</v>
      </c>
      <c r="G11" s="21">
        <v>-2633318</v>
      </c>
      <c r="H11" s="21">
        <v>914792</v>
      </c>
      <c r="I11" s="21">
        <v>1369753</v>
      </c>
      <c r="J11" s="21">
        <v>284628</v>
      </c>
      <c r="K11" s="21">
        <v>3747151</v>
      </c>
      <c r="L11" s="157">
        <v>-12720</v>
      </c>
      <c r="M11" s="128">
        <v>534482</v>
      </c>
      <c r="N11" s="21">
        <f>-22690+32920+175740</f>
        <v>185970</v>
      </c>
      <c r="O11" s="21">
        <f>-50135-517575+694945</f>
        <v>127235</v>
      </c>
      <c r="P11" s="21">
        <v>123964</v>
      </c>
      <c r="Q11" s="21">
        <v>496194</v>
      </c>
      <c r="R11" s="21">
        <v>-287005</v>
      </c>
      <c r="S11" s="21">
        <v>-400534</v>
      </c>
      <c r="T11" s="21">
        <v>-22998</v>
      </c>
      <c r="U11" s="21">
        <v>-103849</v>
      </c>
      <c r="V11" s="21">
        <v>-157021.79</v>
      </c>
      <c r="W11" s="21">
        <v>-515604.98</v>
      </c>
      <c r="X11" s="21">
        <v>182247</v>
      </c>
      <c r="Y11" s="21">
        <v>734825</v>
      </c>
      <c r="Z11" s="21">
        <v>79283</v>
      </c>
      <c r="AA11" s="21">
        <v>173685</v>
      </c>
      <c r="AB11" s="21">
        <v>-87307</v>
      </c>
      <c r="AC11" s="21">
        <v>-1525955</v>
      </c>
      <c r="AD11" s="21">
        <v>631595</v>
      </c>
      <c r="AE11" s="21">
        <v>2229052</v>
      </c>
      <c r="AF11" s="21">
        <f>-2078-7673+586262</f>
        <v>576511</v>
      </c>
      <c r="AG11" s="21">
        <f>-21251-157337+2315474</f>
        <v>2136886</v>
      </c>
      <c r="AH11" s="21">
        <v>57927</v>
      </c>
      <c r="AI11" s="21">
        <v>199246</v>
      </c>
      <c r="AJ11" s="21">
        <f>12043+21961+323161</f>
        <v>357165</v>
      </c>
      <c r="AK11" s="21">
        <f>36675+36521+1039529</f>
        <v>1112725</v>
      </c>
      <c r="AL11" s="21">
        <v>-145956</v>
      </c>
      <c r="AM11" s="21">
        <v>-289424</v>
      </c>
      <c r="AN11" s="21">
        <v>200387</v>
      </c>
      <c r="AO11" s="21">
        <v>308500</v>
      </c>
      <c r="AP11" s="21">
        <v>3755915.4930000007</v>
      </c>
      <c r="AQ11" s="21">
        <v>8172306.8909999998</v>
      </c>
      <c r="AR11" s="21">
        <v>6955403</v>
      </c>
      <c r="AS11" s="21">
        <v>21989788</v>
      </c>
      <c r="AT11" s="38">
        <f>34301+235085+1857204</f>
        <v>2126590</v>
      </c>
      <c r="AU11" s="38">
        <f>201496+856812+5527117</f>
        <v>6585425</v>
      </c>
      <c r="AV11" s="21">
        <v>19182</v>
      </c>
      <c r="AW11" s="21">
        <v>74593</v>
      </c>
      <c r="AX11" s="21">
        <f>-8894+14821-107294</f>
        <v>-101367</v>
      </c>
      <c r="AY11" s="21">
        <f>-31563-8399-78101</f>
        <v>-118063</v>
      </c>
      <c r="AZ11" s="21">
        <v>-3584</v>
      </c>
      <c r="BA11" s="21">
        <v>-3518</v>
      </c>
      <c r="BB11" s="21">
        <v>-98449</v>
      </c>
      <c r="BC11" s="21">
        <v>-314193</v>
      </c>
      <c r="BD11" s="21">
        <f>-1006-1938+326691</f>
        <v>323747</v>
      </c>
      <c r="BE11" s="21">
        <f>1647+220+843586</f>
        <v>845453</v>
      </c>
      <c r="BF11" s="21">
        <v>579301</v>
      </c>
      <c r="BG11" s="21">
        <v>-86503</v>
      </c>
      <c r="BH11" s="21">
        <v>252599</v>
      </c>
      <c r="BI11" s="21">
        <v>810725</v>
      </c>
      <c r="BJ11" s="21">
        <v>111768</v>
      </c>
      <c r="BK11" s="21">
        <v>2569115</v>
      </c>
      <c r="BL11" s="21">
        <v>-94107</v>
      </c>
      <c r="BM11" s="21">
        <v>280572</v>
      </c>
      <c r="BN11" s="21">
        <v>2370780</v>
      </c>
      <c r="BO11" s="21">
        <v>7327029</v>
      </c>
      <c r="BP11" s="21">
        <f>-1606+28960+197997</f>
        <v>225351</v>
      </c>
      <c r="BQ11" s="21">
        <f>-7442+93756+577902</f>
        <v>664216</v>
      </c>
      <c r="BR11" s="21">
        <f t="shared" si="0"/>
        <v>18593362.703000002</v>
      </c>
      <c r="BS11" s="21">
        <f t="shared" si="1"/>
        <v>56951351.910999998</v>
      </c>
    </row>
    <row r="12" spans="1:71" ht="30" x14ac:dyDescent="0.25">
      <c r="A12" s="25" t="s">
        <v>38</v>
      </c>
      <c r="B12" s="21">
        <v>734066</v>
      </c>
      <c r="C12" s="21">
        <v>1634870</v>
      </c>
      <c r="D12" s="21">
        <v>1016693</v>
      </c>
      <c r="E12" s="21">
        <v>3715328</v>
      </c>
      <c r="F12" s="21">
        <v>691510</v>
      </c>
      <c r="G12" s="21">
        <v>2132482</v>
      </c>
      <c r="H12" s="21">
        <v>1201703</v>
      </c>
      <c r="I12" s="21">
        <v>4656969</v>
      </c>
      <c r="J12" s="21">
        <v>5872787</v>
      </c>
      <c r="K12" s="21">
        <v>18071090</v>
      </c>
      <c r="L12" s="128">
        <v>1584074</v>
      </c>
      <c r="M12" s="128">
        <v>5221439</v>
      </c>
      <c r="N12" s="21">
        <f>17409-20437+2415694</f>
        <v>2412666</v>
      </c>
      <c r="O12" s="21">
        <f>81050+199961+8987805</f>
        <v>9268816</v>
      </c>
      <c r="P12" s="21">
        <v>693673</v>
      </c>
      <c r="Q12" s="21">
        <v>2936596</v>
      </c>
      <c r="R12" s="21">
        <v>284306</v>
      </c>
      <c r="S12" s="21">
        <v>1299533</v>
      </c>
      <c r="T12" s="21">
        <v>176959</v>
      </c>
      <c r="U12" s="21">
        <v>623696</v>
      </c>
      <c r="V12" s="21">
        <v>1083998.3</v>
      </c>
      <c r="W12" s="21">
        <v>2430484.5699999998</v>
      </c>
      <c r="X12" s="21">
        <v>1699586</v>
      </c>
      <c r="Y12" s="21">
        <v>5825319</v>
      </c>
      <c r="Z12" s="21">
        <v>1704766</v>
      </c>
      <c r="AA12" s="21">
        <v>4132652</v>
      </c>
      <c r="AB12" s="21">
        <v>3181935</v>
      </c>
      <c r="AC12" s="21">
        <v>11313294</v>
      </c>
      <c r="AD12" s="21">
        <v>5851530</v>
      </c>
      <c r="AE12" s="21">
        <v>19897782</v>
      </c>
      <c r="AF12" s="21">
        <f>26442+34200+1714004</f>
        <v>1774646</v>
      </c>
      <c r="AG12" s="21">
        <f>91415+73533+5404342</f>
        <v>5569290</v>
      </c>
      <c r="AH12" s="21">
        <v>310899</v>
      </c>
      <c r="AI12" s="21">
        <v>1045339</v>
      </c>
      <c r="AJ12" s="21">
        <f>-25578+9090+187273</f>
        <v>170785</v>
      </c>
      <c r="AK12" s="21">
        <f>25878+107265+2647154</f>
        <v>2780297</v>
      </c>
      <c r="AL12" s="21">
        <v>735089</v>
      </c>
      <c r="AM12" s="21">
        <v>2436875</v>
      </c>
      <c r="AN12" s="21">
        <v>1152611</v>
      </c>
      <c r="AO12" s="21">
        <v>3574727</v>
      </c>
      <c r="AP12" s="21">
        <v>6480350</v>
      </c>
      <c r="AQ12" s="21">
        <v>25989057</v>
      </c>
      <c r="AR12" s="21">
        <v>15251465</v>
      </c>
      <c r="AS12" s="21">
        <v>40380400</v>
      </c>
      <c r="AT12" s="38">
        <f>170901+612984+7449071</f>
        <v>8232956</v>
      </c>
      <c r="AU12" s="38">
        <f>490216+2217643+21947335</f>
        <v>24655194</v>
      </c>
      <c r="AV12" s="21">
        <v>136011</v>
      </c>
      <c r="AW12" s="21">
        <v>367505</v>
      </c>
      <c r="AX12" s="21">
        <f>5023+148968+2656306</f>
        <v>2810297</v>
      </c>
      <c r="AY12" s="21">
        <f>21167+485187+9240642</f>
        <v>9746996</v>
      </c>
      <c r="AZ12" s="21">
        <v>323140</v>
      </c>
      <c r="BA12" s="21">
        <v>571416</v>
      </c>
      <c r="BB12" s="21">
        <v>1566967</v>
      </c>
      <c r="BC12" s="21">
        <v>5322293</v>
      </c>
      <c r="BD12" s="21">
        <f>13081+19340+923272</f>
        <v>955693</v>
      </c>
      <c r="BE12" s="21">
        <f>55067+154497+4096464</f>
        <v>4306028</v>
      </c>
      <c r="BF12" s="21">
        <v>1750536</v>
      </c>
      <c r="BG12" s="21">
        <v>5942378</v>
      </c>
      <c r="BH12" s="21">
        <v>801893</v>
      </c>
      <c r="BI12" s="21">
        <v>2828938</v>
      </c>
      <c r="BJ12" s="21">
        <v>3173891</v>
      </c>
      <c r="BK12" s="21">
        <v>9879159</v>
      </c>
      <c r="BL12" s="21">
        <v>3868209</v>
      </c>
      <c r="BM12" s="21">
        <v>14491019</v>
      </c>
      <c r="BN12" s="21">
        <v>10368543</v>
      </c>
      <c r="BO12" s="21">
        <v>30594077</v>
      </c>
      <c r="BP12" s="21">
        <f>1271+31027+780582</f>
        <v>812880</v>
      </c>
      <c r="BQ12" s="21">
        <f>7872+93371+2498356</f>
        <v>2599599</v>
      </c>
      <c r="BR12" s="21">
        <f t="shared" si="0"/>
        <v>88543973.299999997</v>
      </c>
      <c r="BS12" s="21">
        <f t="shared" si="1"/>
        <v>285669521.56999999</v>
      </c>
    </row>
    <row r="13" spans="1:71" x14ac:dyDescent="0.25">
      <c r="A13" s="25" t="s">
        <v>39</v>
      </c>
      <c r="B13" s="21">
        <v>34526</v>
      </c>
      <c r="C13" s="21">
        <v>34526</v>
      </c>
      <c r="D13" s="21"/>
      <c r="E13" s="21"/>
      <c r="F13" s="21"/>
      <c r="G13" s="21"/>
      <c r="H13" s="21"/>
      <c r="I13" s="21"/>
      <c r="J13" s="21"/>
      <c r="K13" s="21">
        <v>-44071</v>
      </c>
      <c r="L13" s="157">
        <v>-20095</v>
      </c>
      <c r="M13" s="157">
        <v>6498</v>
      </c>
      <c r="N13" s="21"/>
      <c r="O13" s="21"/>
      <c r="P13" s="21"/>
      <c r="Q13" s="21"/>
      <c r="R13" s="21">
        <v>124832</v>
      </c>
      <c r="S13" s="21">
        <v>295559</v>
      </c>
      <c r="T13" s="21">
        <v>22673</v>
      </c>
      <c r="U13" s="21">
        <v>72778</v>
      </c>
      <c r="V13" s="21"/>
      <c r="W13" s="21"/>
      <c r="X13" s="21"/>
      <c r="Y13" s="21"/>
      <c r="Z13" s="21">
        <v>-6921</v>
      </c>
      <c r="AA13" s="21">
        <v>10955</v>
      </c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>
        <v>226</v>
      </c>
      <c r="AM13" s="21">
        <v>-2357</v>
      </c>
      <c r="AN13" s="21"/>
      <c r="AO13" s="21"/>
      <c r="AP13" s="21"/>
      <c r="AQ13" s="21"/>
      <c r="AR13" s="21"/>
      <c r="AS13" s="21"/>
      <c r="AT13" s="38">
        <v>361036</v>
      </c>
      <c r="AU13" s="38">
        <v>361036</v>
      </c>
      <c r="AV13" s="21">
        <v>301</v>
      </c>
      <c r="AW13" s="21">
        <v>361</v>
      </c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>
        <f t="shared" si="0"/>
        <v>516578</v>
      </c>
      <c r="BS13" s="21">
        <f t="shared" si="1"/>
        <v>735285</v>
      </c>
    </row>
    <row r="14" spans="1:71" x14ac:dyDescent="0.25">
      <c r="A14" s="25" t="s">
        <v>146</v>
      </c>
      <c r="B14" s="21"/>
      <c r="C14" s="21"/>
      <c r="D14" s="21"/>
      <c r="E14" s="21"/>
      <c r="F14" s="21"/>
      <c r="G14" s="21"/>
      <c r="H14" s="21"/>
      <c r="I14" s="21"/>
      <c r="J14" s="21">
        <v>7899</v>
      </c>
      <c r="K14" s="21">
        <v>27542</v>
      </c>
      <c r="L14" s="157">
        <v>1460</v>
      </c>
      <c r="M14" s="157">
        <v>4647</v>
      </c>
      <c r="N14" s="21"/>
      <c r="O14" s="21"/>
      <c r="P14" s="21"/>
      <c r="Q14" s="21"/>
      <c r="R14" s="21">
        <v>129</v>
      </c>
      <c r="S14" s="21">
        <v>170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>
        <v>265</v>
      </c>
      <c r="AI14" s="21">
        <v>963</v>
      </c>
      <c r="AJ14" s="21"/>
      <c r="AK14" s="21"/>
      <c r="AL14" s="21">
        <v>1584</v>
      </c>
      <c r="AM14" s="21">
        <v>5266</v>
      </c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>
        <v>1315</v>
      </c>
      <c r="BQ14" s="21">
        <v>3795</v>
      </c>
      <c r="BR14" s="21">
        <f t="shared" ref="BR14:BR17" si="2">B14+D14+F14+H14+J14+L14+N14+P14+R14+T14+V14+X14+Z14+AB14+AD14+AF14+AH14+AJ14+AL14+AN14+AP14+AR14+AT14+AV14+AX14+BB14+BD14+BF14+BH14+BJ14+BL14+BN14+BP14</f>
        <v>12652</v>
      </c>
      <c r="BS14" s="21">
        <f t="shared" ref="BS14:BS17" si="3">C14+E14+G14+I14+K14+M14+O14+Q14+S14+U14+W14+Y14+AA14+AC14+AE14+AG14+AI14+AK14+AM14+AO14+AQ14+AS14+AU14+AW14+AY14+BC14+BE14+BG14+BI14+BK14+BM14+BO14+BQ14</f>
        <v>42383</v>
      </c>
    </row>
    <row r="15" spans="1:71" x14ac:dyDescent="0.25">
      <c r="A15" s="25" t="s">
        <v>318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44"/>
      <c r="M15" s="44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>
        <v>113024</v>
      </c>
      <c r="AQ15" s="21">
        <v>216331</v>
      </c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>
        <f t="shared" si="2"/>
        <v>113024</v>
      </c>
      <c r="BS15" s="21">
        <f t="shared" si="3"/>
        <v>216331</v>
      </c>
    </row>
    <row r="16" spans="1:71" ht="90" x14ac:dyDescent="0.25">
      <c r="A16" s="25" t="s">
        <v>319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44"/>
      <c r="M16" s="44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>
        <v>148162</v>
      </c>
      <c r="AQ16" s="21">
        <v>441415</v>
      </c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>
        <f t="shared" si="2"/>
        <v>148162</v>
      </c>
      <c r="BS16" s="21">
        <f t="shared" si="3"/>
        <v>441415</v>
      </c>
    </row>
    <row r="17" spans="1:71" x14ac:dyDescent="0.25">
      <c r="A17" s="25" t="s">
        <v>206</v>
      </c>
      <c r="B17" s="21">
        <v>199</v>
      </c>
      <c r="C17" s="21">
        <v>199</v>
      </c>
      <c r="D17" s="21"/>
      <c r="E17" s="21"/>
      <c r="F17" s="21">
        <f>F18-F12-F11-F10</f>
        <v>16946</v>
      </c>
      <c r="G17" s="21">
        <f>G18-G12-G11-G10</f>
        <v>74238</v>
      </c>
      <c r="H17" s="21"/>
      <c r="I17" s="21"/>
      <c r="J17" s="21"/>
      <c r="K17" s="21"/>
      <c r="L17" s="44">
        <f>L18-L14-L13-L12-L11-L10</f>
        <v>-1320351</v>
      </c>
      <c r="M17" s="44">
        <f>M18-M14-M13-M12-M11-M10</f>
        <v>-1316326</v>
      </c>
      <c r="N17" s="21"/>
      <c r="O17" s="21"/>
      <c r="P17" s="21"/>
      <c r="Q17" s="21"/>
      <c r="R17" s="21">
        <v>310</v>
      </c>
      <c r="S17" s="21">
        <v>529</v>
      </c>
      <c r="T17" s="21"/>
      <c r="U17" s="21"/>
      <c r="V17" s="21">
        <f>V18-V12-V11-V10</f>
        <v>694864.61999999965</v>
      </c>
      <c r="W17" s="21">
        <f>W18-W12-W11-W10</f>
        <v>599558.18999999948</v>
      </c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>
        <v>-516346</v>
      </c>
      <c r="AO17" s="21">
        <v>-1365000</v>
      </c>
      <c r="AP17" s="21"/>
      <c r="AQ17" s="21"/>
      <c r="AR17" s="21">
        <v>584408</v>
      </c>
      <c r="AS17" s="21">
        <v>902891</v>
      </c>
      <c r="AT17" s="21"/>
      <c r="AU17" s="21"/>
      <c r="AV17" s="21"/>
      <c r="AW17" s="21"/>
      <c r="AX17" s="21"/>
      <c r="AY17" s="21"/>
      <c r="AZ17" s="21">
        <v>2400</v>
      </c>
      <c r="BA17" s="21">
        <v>2400</v>
      </c>
      <c r="BB17" s="21"/>
      <c r="BC17" s="21"/>
      <c r="BD17" s="21"/>
      <c r="BE17" s="21"/>
      <c r="BF17" s="21"/>
      <c r="BG17" s="21"/>
      <c r="BH17" s="21"/>
      <c r="BI17" s="21"/>
      <c r="BJ17" s="21">
        <v>45240</v>
      </c>
      <c r="BK17" s="21">
        <v>57525</v>
      </c>
      <c r="BL17" s="21"/>
      <c r="BM17" s="21"/>
      <c r="BN17" s="21">
        <v>336437</v>
      </c>
      <c r="BO17" s="21">
        <v>964411</v>
      </c>
      <c r="BP17" s="21"/>
      <c r="BQ17" s="21"/>
      <c r="BR17" s="21">
        <f t="shared" si="2"/>
        <v>-158292.38000000035</v>
      </c>
      <c r="BS17" s="21">
        <f t="shared" si="3"/>
        <v>-81974.810000000522</v>
      </c>
    </row>
    <row r="18" spans="1:71" s="15" customFormat="1" x14ac:dyDescent="0.25">
      <c r="A18" s="23" t="s">
        <v>40</v>
      </c>
      <c r="B18" s="24">
        <v>953911</v>
      </c>
      <c r="C18" s="24">
        <v>1931018</v>
      </c>
      <c r="D18" s="24">
        <v>1872945</v>
      </c>
      <c r="E18" s="24">
        <v>6230952</v>
      </c>
      <c r="F18" s="24">
        <v>1633885</v>
      </c>
      <c r="G18" s="24">
        <v>14809773</v>
      </c>
      <c r="H18" s="24">
        <v>5157482</v>
      </c>
      <c r="I18" s="24">
        <v>16497655</v>
      </c>
      <c r="J18" s="24">
        <v>20646495</v>
      </c>
      <c r="K18" s="24">
        <v>69905816</v>
      </c>
      <c r="L18" s="158">
        <v>2968453</v>
      </c>
      <c r="M18" s="158">
        <v>15217533</v>
      </c>
      <c r="N18" s="24">
        <f>-791+45399+8746722</f>
        <v>8791330</v>
      </c>
      <c r="O18" s="24">
        <f>32559543+139582+51921</f>
        <v>32751046</v>
      </c>
      <c r="P18" s="24">
        <v>1483217</v>
      </c>
      <c r="Q18" s="24">
        <v>5864182</v>
      </c>
      <c r="R18" s="24">
        <v>250921</v>
      </c>
      <c r="S18" s="24">
        <v>1502933</v>
      </c>
      <c r="T18" s="24">
        <v>380172</v>
      </c>
      <c r="U18" s="24">
        <v>945707</v>
      </c>
      <c r="V18" s="24">
        <v>3862177.28</v>
      </c>
      <c r="W18" s="24">
        <v>13926057.359999999</v>
      </c>
      <c r="X18" s="24">
        <v>5270339</v>
      </c>
      <c r="Y18" s="24">
        <v>17390634</v>
      </c>
      <c r="Z18" s="24">
        <v>4086180</v>
      </c>
      <c r="AA18" s="24">
        <v>8258395</v>
      </c>
      <c r="AB18" s="24">
        <v>10208564</v>
      </c>
      <c r="AC18" s="24">
        <v>38879154</v>
      </c>
      <c r="AD18" s="24">
        <v>22229683</v>
      </c>
      <c r="AE18" s="24">
        <v>85208010</v>
      </c>
      <c r="AF18" s="24">
        <f>177391+151263+10645576</f>
        <v>10974230</v>
      </c>
      <c r="AG18" s="24">
        <f>483271+222011+42583123</f>
        <v>43288405</v>
      </c>
      <c r="AH18" s="24">
        <v>743729</v>
      </c>
      <c r="AI18" s="24">
        <v>2588748</v>
      </c>
      <c r="AJ18" s="24">
        <f>41058+65088+2336331</f>
        <v>2442477</v>
      </c>
      <c r="AK18" s="24">
        <f>256746+223287+9323478</f>
        <v>9803511</v>
      </c>
      <c r="AL18" s="24">
        <v>2246998</v>
      </c>
      <c r="AM18" s="24">
        <v>4867211</v>
      </c>
      <c r="AN18" s="24">
        <v>1753919</v>
      </c>
      <c r="AO18" s="24">
        <v>6074653</v>
      </c>
      <c r="AP18" s="24">
        <v>42453123.658999972</v>
      </c>
      <c r="AQ18" s="24">
        <v>149159369.53200006</v>
      </c>
      <c r="AR18" s="24">
        <v>75241518</v>
      </c>
      <c r="AS18" s="24">
        <v>268240105</v>
      </c>
      <c r="AT18" s="24">
        <f>35647431+469894+2819183</f>
        <v>38936508</v>
      </c>
      <c r="AU18" s="24">
        <f>2080669+10207139+131794676</f>
        <v>144082484</v>
      </c>
      <c r="AV18" s="24">
        <v>304956</v>
      </c>
      <c r="AW18" s="24">
        <v>1190304</v>
      </c>
      <c r="AX18" s="24">
        <f>SUM(AX10:AX17)</f>
        <v>10942408</v>
      </c>
      <c r="AY18" s="24">
        <f>SUM(AY10:AY17)</f>
        <v>39941970</v>
      </c>
      <c r="AZ18" s="24">
        <v>323692</v>
      </c>
      <c r="BA18" s="24">
        <v>572141</v>
      </c>
      <c r="BB18" s="24">
        <v>3073866</v>
      </c>
      <c r="BC18" s="24">
        <v>11034814</v>
      </c>
      <c r="BD18" s="24">
        <f>83815+73575+5856467</f>
        <v>6013857</v>
      </c>
      <c r="BE18" s="24">
        <f>215097+395124+23089779</f>
        <v>23700000</v>
      </c>
      <c r="BF18" s="24">
        <v>5985151</v>
      </c>
      <c r="BG18" s="24">
        <v>23061587</v>
      </c>
      <c r="BH18" s="24">
        <v>1928344</v>
      </c>
      <c r="BI18" s="24">
        <v>17702869</v>
      </c>
      <c r="BJ18" s="24">
        <v>9795022</v>
      </c>
      <c r="BK18" s="24">
        <v>35481694</v>
      </c>
      <c r="BL18" s="24">
        <v>14195677</v>
      </c>
      <c r="BM18" s="24">
        <v>50635255</v>
      </c>
      <c r="BN18" s="24">
        <v>48472675</v>
      </c>
      <c r="BO18" s="24">
        <v>182246416</v>
      </c>
      <c r="BP18" s="24">
        <f>11604+86287+1827852</f>
        <v>1925743</v>
      </c>
      <c r="BQ18" s="24">
        <f>50388+394523+11619436</f>
        <v>12064347</v>
      </c>
      <c r="BR18" s="24">
        <f t="shared" ref="BR18:BR19" si="4">B18+D18+F18+H18+J18+L18+N18+P18+R18+T18+V18+X18+Z18+AB18+AD18+AF18+AH18+AJ18+AL18+AN18+AP18+AR18+AT18+AV18+AX18+BB18+BD18+BF18+BH18+BJ18+BL18+BN18+BP18</f>
        <v>367225955.93900001</v>
      </c>
      <c r="BS18" s="24">
        <f t="shared" ref="BS18:BS19" si="5">C18+E18+G18+I18+K18+M18+O18+Q18+S18+U18+W18+Y18+AA18+AC18+AE18+AG18+AI18+AK18+AM18+AO18+AQ18+AS18+AU18+AW18+AY18+BC18+BE18+BG18+BI18+BK18+BM18+BO18+BQ18</f>
        <v>1354482607.8920002</v>
      </c>
    </row>
    <row r="19" spans="1:71" s="15" customFormat="1" x14ac:dyDescent="0.25">
      <c r="A19" s="23" t="s">
        <v>41</v>
      </c>
      <c r="B19" s="24">
        <v>-700863</v>
      </c>
      <c r="C19" s="24">
        <v>-1406483</v>
      </c>
      <c r="D19" s="24">
        <v>-627977</v>
      </c>
      <c r="E19" s="24">
        <v>-2563400</v>
      </c>
      <c r="F19" s="24">
        <v>1596066</v>
      </c>
      <c r="G19" s="24">
        <v>5073364</v>
      </c>
      <c r="H19" s="24">
        <v>2137560</v>
      </c>
      <c r="I19" s="24">
        <v>1125705</v>
      </c>
      <c r="J19" s="24">
        <v>1213839</v>
      </c>
      <c r="K19" s="24">
        <v>9676845</v>
      </c>
      <c r="L19" s="159">
        <v>1388565</v>
      </c>
      <c r="M19" s="159">
        <v>1318614</v>
      </c>
      <c r="N19" s="24">
        <f>56046+220467+139956</f>
        <v>416469</v>
      </c>
      <c r="O19" s="24">
        <f>56086+1107857+1417157</f>
        <v>2581100</v>
      </c>
      <c r="P19" s="24">
        <v>-268644</v>
      </c>
      <c r="Q19" s="24">
        <v>-1690541</v>
      </c>
      <c r="R19" s="24">
        <v>36520</v>
      </c>
      <c r="S19" s="24">
        <v>-317620</v>
      </c>
      <c r="T19" s="24">
        <v>-199637</v>
      </c>
      <c r="U19" s="24">
        <v>-643138</v>
      </c>
      <c r="V19" s="24">
        <v>-79671.100000000006</v>
      </c>
      <c r="W19" s="24">
        <v>-427663.3</v>
      </c>
      <c r="X19" s="24">
        <v>-302956</v>
      </c>
      <c r="Y19" s="24">
        <v>651042</v>
      </c>
      <c r="Z19" s="24">
        <v>-1218365</v>
      </c>
      <c r="AA19" s="24">
        <v>-2999830</v>
      </c>
      <c r="AB19" s="24">
        <v>1171599</v>
      </c>
      <c r="AC19" s="24">
        <v>4939058</v>
      </c>
      <c r="AD19" s="24">
        <v>2967334</v>
      </c>
      <c r="AE19" s="24">
        <v>12314174</v>
      </c>
      <c r="AF19" s="24">
        <f>48892+21832+13583</f>
        <v>84307</v>
      </c>
      <c r="AG19" s="24">
        <f>259361+332756+806698</f>
        <v>1398815</v>
      </c>
      <c r="AH19" s="24">
        <v>-96452</v>
      </c>
      <c r="AI19" s="24">
        <v>-418371</v>
      </c>
      <c r="AJ19" s="24">
        <f>19795-48918+245272</f>
        <v>216149</v>
      </c>
      <c r="AK19" s="24">
        <f>-74519-144623-641097</f>
        <v>-860239</v>
      </c>
      <c r="AL19" s="24">
        <v>-56277</v>
      </c>
      <c r="AM19" s="24">
        <v>-87535</v>
      </c>
      <c r="AN19" s="24">
        <v>635255</v>
      </c>
      <c r="AO19" s="24">
        <v>857254</v>
      </c>
      <c r="AP19" s="24">
        <v>-4743052.4585120082</v>
      </c>
      <c r="AQ19" s="24">
        <v>-18325689.110100895</v>
      </c>
      <c r="AR19" s="24">
        <v>-8955983</v>
      </c>
      <c r="AS19" s="24">
        <v>-14613438</v>
      </c>
      <c r="AT19" s="24">
        <f>465177-615526-174252</f>
        <v>-324601</v>
      </c>
      <c r="AU19" s="24">
        <f>967539-1854820-11286760</f>
        <v>-12174041</v>
      </c>
      <c r="AV19" s="24">
        <v>-15858</v>
      </c>
      <c r="AW19" s="24">
        <v>-139254</v>
      </c>
      <c r="AX19" s="24">
        <f>AX9-AX18</f>
        <v>431812</v>
      </c>
      <c r="AY19" s="24">
        <f>AY9-AY18</f>
        <v>1619200</v>
      </c>
      <c r="AZ19" s="24">
        <v>-312157</v>
      </c>
      <c r="BA19" s="24">
        <v>-558041</v>
      </c>
      <c r="BB19" s="24">
        <v>2135387</v>
      </c>
      <c r="BC19" s="24">
        <v>2411843</v>
      </c>
      <c r="BD19" s="24">
        <f>-35146+48296+281836</f>
        <v>294986</v>
      </c>
      <c r="BE19" s="24">
        <f>-13197+47657+1150640</f>
        <v>1185100</v>
      </c>
      <c r="BF19" s="24">
        <v>812622</v>
      </c>
      <c r="BG19" s="24">
        <v>3620201</v>
      </c>
      <c r="BH19" s="24">
        <v>4990457</v>
      </c>
      <c r="BI19" s="24">
        <v>9544355</v>
      </c>
      <c r="BJ19" s="24">
        <v>4955202</v>
      </c>
      <c r="BK19" s="24">
        <v>2295097</v>
      </c>
      <c r="BL19" s="24">
        <v>-217207</v>
      </c>
      <c r="BM19" s="24">
        <v>328506</v>
      </c>
      <c r="BN19" s="24">
        <v>1580527</v>
      </c>
      <c r="BO19" s="24">
        <v>-21373822</v>
      </c>
      <c r="BP19" s="24">
        <f>4842+121652+1440621</f>
        <v>1567115</v>
      </c>
      <c r="BQ19" s="24">
        <f>9888+322978+1526921</f>
        <v>1859787</v>
      </c>
      <c r="BR19" s="24">
        <f t="shared" si="4"/>
        <v>10824227.441487992</v>
      </c>
      <c r="BS19" s="24">
        <f t="shared" si="5"/>
        <v>-15241004.410100896</v>
      </c>
    </row>
  </sheetData>
  <mergeCells count="35">
    <mergeCell ref="B3:C3"/>
    <mergeCell ref="D3:E3"/>
    <mergeCell ref="F3:G3"/>
    <mergeCell ref="J3:K3"/>
    <mergeCell ref="L3:M3"/>
    <mergeCell ref="H3:I3"/>
    <mergeCell ref="BR3:BS3"/>
    <mergeCell ref="AV3:AW3"/>
    <mergeCell ref="AX3:AY3"/>
    <mergeCell ref="BB3:BC3"/>
    <mergeCell ref="AL3:AM3"/>
    <mergeCell ref="AN3:AO3"/>
    <mergeCell ref="AP3:AQ3"/>
    <mergeCell ref="AR3:AS3"/>
    <mergeCell ref="AT3:AU3"/>
    <mergeCell ref="BF3:BG3"/>
    <mergeCell ref="BD3:BE3"/>
    <mergeCell ref="BP3:BQ3"/>
    <mergeCell ref="BN3:BO3"/>
    <mergeCell ref="BH3:BI3"/>
    <mergeCell ref="AZ3:BA3"/>
    <mergeCell ref="BL3:BM3"/>
    <mergeCell ref="BJ3:BK3"/>
    <mergeCell ref="Z3:AA3"/>
    <mergeCell ref="N3:O3"/>
    <mergeCell ref="P3:Q3"/>
    <mergeCell ref="AF3:AG3"/>
    <mergeCell ref="AH3:AI3"/>
    <mergeCell ref="AJ3:AK3"/>
    <mergeCell ref="AB3:AC3"/>
    <mergeCell ref="AD3:AE3"/>
    <mergeCell ref="R3:S3"/>
    <mergeCell ref="T3:U3"/>
    <mergeCell ref="V3:W3"/>
    <mergeCell ref="X3:Y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7"/>
  <sheetViews>
    <sheetView workbookViewId="0">
      <pane xSplit="1" ySplit="3" topLeftCell="B4" activePane="bottomRight" state="frozen"/>
      <selection activeCell="F11" sqref="F11"/>
      <selection pane="topRight" activeCell="F11" sqref="F11"/>
      <selection pane="bottomLeft" activeCell="F11" sqref="F11"/>
      <selection pane="bottomRight" activeCell="B2" sqref="B2"/>
    </sheetView>
  </sheetViews>
  <sheetFormatPr defaultRowHeight="15" x14ac:dyDescent="0.25"/>
  <cols>
    <col min="1" max="1" width="38.5703125" style="2" customWidth="1"/>
    <col min="2" max="36" width="16" customWidth="1"/>
  </cols>
  <sheetData>
    <row r="1" spans="1:67" ht="18.75" x14ac:dyDescent="0.3">
      <c r="A1" s="31" t="s">
        <v>329</v>
      </c>
    </row>
    <row r="2" spans="1:67" x14ac:dyDescent="0.25">
      <c r="A2" s="2" t="s">
        <v>43</v>
      </c>
    </row>
    <row r="3" spans="1:67" s="65" customFormat="1" x14ac:dyDescent="0.25">
      <c r="A3" s="66" t="s">
        <v>0</v>
      </c>
      <c r="B3" s="104" t="s">
        <v>1</v>
      </c>
      <c r="C3" s="104" t="s">
        <v>2</v>
      </c>
      <c r="D3" s="104" t="s">
        <v>3</v>
      </c>
      <c r="E3" s="104" t="s">
        <v>4</v>
      </c>
      <c r="F3" s="104" t="s">
        <v>5</v>
      </c>
      <c r="G3" s="104" t="s">
        <v>6</v>
      </c>
      <c r="H3" s="104" t="s">
        <v>7</v>
      </c>
      <c r="I3" s="104" t="s">
        <v>8</v>
      </c>
      <c r="J3" s="104" t="s">
        <v>9</v>
      </c>
      <c r="K3" s="104" t="s">
        <v>10</v>
      </c>
      <c r="L3" s="104" t="s">
        <v>11</v>
      </c>
      <c r="M3" s="104" t="s">
        <v>12</v>
      </c>
      <c r="N3" s="104" t="s">
        <v>13</v>
      </c>
      <c r="O3" s="104" t="s">
        <v>14</v>
      </c>
      <c r="P3" s="104" t="s">
        <v>15</v>
      </c>
      <c r="Q3" s="104" t="s">
        <v>16</v>
      </c>
      <c r="R3" s="104" t="s">
        <v>17</v>
      </c>
      <c r="S3" s="104" t="s">
        <v>18</v>
      </c>
      <c r="T3" s="104" t="s">
        <v>19</v>
      </c>
      <c r="U3" s="104" t="s">
        <v>20</v>
      </c>
      <c r="V3" s="104" t="s">
        <v>21</v>
      </c>
      <c r="W3" s="104" t="s">
        <v>147</v>
      </c>
      <c r="X3" s="104" t="s">
        <v>148</v>
      </c>
      <c r="Y3" s="104" t="s">
        <v>22</v>
      </c>
      <c r="Z3" s="104" t="s">
        <v>23</v>
      </c>
      <c r="AA3" s="104" t="s">
        <v>332</v>
      </c>
      <c r="AB3" s="104" t="s">
        <v>24</v>
      </c>
      <c r="AC3" s="104" t="s">
        <v>25</v>
      </c>
      <c r="AD3" s="104" t="s">
        <v>26</v>
      </c>
      <c r="AE3" s="104" t="s">
        <v>27</v>
      </c>
      <c r="AF3" s="104" t="s">
        <v>28</v>
      </c>
      <c r="AG3" s="104" t="s">
        <v>29</v>
      </c>
      <c r="AH3" s="104" t="s">
        <v>30</v>
      </c>
      <c r="AI3" s="104" t="s">
        <v>31</v>
      </c>
      <c r="AJ3" s="104" t="s">
        <v>250</v>
      </c>
    </row>
    <row r="4" spans="1:67" s="1" customFormat="1" x14ac:dyDescent="0.25">
      <c r="A4" s="35" t="s">
        <v>96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pans="1:67" x14ac:dyDescent="0.25">
      <c r="A5" s="37" t="s">
        <v>97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64">
        <f>SUM(B5:AI5)</f>
        <v>0</v>
      </c>
      <c r="BN5" s="1"/>
      <c r="BO5" s="1"/>
    </row>
    <row r="6" spans="1:67" x14ac:dyDescent="0.25">
      <c r="A6" s="37" t="s">
        <v>98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64">
        <f t="shared" ref="AJ6:AJ12" si="0">SUM(B6:AI6)</f>
        <v>0</v>
      </c>
      <c r="BN6" s="1"/>
      <c r="BO6" s="1"/>
    </row>
    <row r="7" spans="1:67" x14ac:dyDescent="0.25">
      <c r="A7" s="37" t="s">
        <v>99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8"/>
      <c r="Q7" s="38"/>
      <c r="R7" s="38"/>
      <c r="S7" s="38"/>
      <c r="T7" s="38"/>
      <c r="U7" s="38"/>
      <c r="V7" s="38">
        <v>237351</v>
      </c>
      <c r="W7" s="38">
        <v>2200775</v>
      </c>
      <c r="X7" s="38"/>
      <c r="Y7" s="38"/>
      <c r="Z7" s="38"/>
      <c r="AA7" s="38"/>
      <c r="AB7" s="38"/>
      <c r="AC7" s="38"/>
      <c r="AD7" s="38"/>
      <c r="AE7" s="38"/>
      <c r="AF7" s="38"/>
      <c r="AG7" s="38"/>
      <c r="AH7">
        <v>669392</v>
      </c>
      <c r="AI7" s="38"/>
      <c r="AJ7" s="64">
        <f t="shared" si="0"/>
        <v>3107518</v>
      </c>
      <c r="BN7" s="1"/>
      <c r="BO7" s="1"/>
    </row>
    <row r="8" spans="1:67" x14ac:dyDescent="0.25">
      <c r="A8" s="37" t="s">
        <v>100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64">
        <f t="shared" si="0"/>
        <v>0</v>
      </c>
      <c r="BN8" s="1"/>
      <c r="BO8" s="1"/>
    </row>
    <row r="9" spans="1:67" x14ac:dyDescent="0.25">
      <c r="A9" s="37" t="s">
        <v>101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64">
        <f t="shared" si="0"/>
        <v>0</v>
      </c>
      <c r="BN9" s="1"/>
      <c r="BO9" s="1"/>
    </row>
    <row r="10" spans="1:67" x14ac:dyDescent="0.25">
      <c r="A10" s="37" t="s">
        <v>215</v>
      </c>
      <c r="B10" s="38"/>
      <c r="C10" s="38"/>
      <c r="D10" s="38">
        <v>120461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>
        <v>586369</v>
      </c>
      <c r="X10" s="38">
        <f>321888+1031025</f>
        <v>1352913</v>
      </c>
      <c r="Y10" s="38"/>
      <c r="Z10" s="38"/>
      <c r="AA10" s="38"/>
      <c r="AB10" s="38"/>
      <c r="AC10" s="38"/>
      <c r="AD10" s="38"/>
      <c r="AE10" s="38"/>
      <c r="AF10" s="38"/>
      <c r="AG10" s="38"/>
      <c r="AH10" s="38">
        <v>586357</v>
      </c>
      <c r="AI10" s="38"/>
      <c r="AJ10" s="64">
        <f t="shared" si="0"/>
        <v>2646100</v>
      </c>
      <c r="BN10" s="1"/>
      <c r="BO10" s="1"/>
    </row>
    <row r="11" spans="1:67" x14ac:dyDescent="0.25">
      <c r="A11" s="37" t="s">
        <v>102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9"/>
      <c r="P11" s="38"/>
      <c r="Q11" s="38"/>
      <c r="R11" s="38"/>
      <c r="S11" s="38"/>
      <c r="T11" s="38">
        <v>59840</v>
      </c>
      <c r="U11" s="38"/>
      <c r="V11" s="38">
        <v>154045</v>
      </c>
      <c r="W11" s="38"/>
      <c r="X11" s="38">
        <v>64299</v>
      </c>
      <c r="Y11" s="38"/>
      <c r="Z11" s="38"/>
      <c r="AA11" s="38"/>
      <c r="AB11" s="38"/>
      <c r="AC11" s="38"/>
      <c r="AD11" s="38"/>
      <c r="AE11" s="38"/>
      <c r="AF11" s="38"/>
      <c r="AG11" s="38"/>
      <c r="AH11" s="38">
        <v>120886</v>
      </c>
      <c r="AI11" s="38"/>
      <c r="AJ11" s="64">
        <f t="shared" si="0"/>
        <v>399070</v>
      </c>
      <c r="BN11" s="1"/>
      <c r="BO11" s="1"/>
    </row>
    <row r="12" spans="1:67" s="32" customFormat="1" x14ac:dyDescent="0.25">
      <c r="A12" s="33" t="s">
        <v>61</v>
      </c>
      <c r="B12" s="34"/>
      <c r="C12" s="34"/>
      <c r="D12" s="34">
        <v>120461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40"/>
      <c r="P12" s="34"/>
      <c r="Q12" s="34"/>
      <c r="R12" s="34"/>
      <c r="S12" s="34"/>
      <c r="T12" s="34">
        <v>59840</v>
      </c>
      <c r="U12" s="34"/>
      <c r="V12" s="34">
        <v>391396</v>
      </c>
      <c r="W12" s="34">
        <v>2787144</v>
      </c>
      <c r="X12" s="34">
        <v>1417212</v>
      </c>
      <c r="Y12" s="34"/>
      <c r="Z12" s="34"/>
      <c r="AA12" s="34"/>
      <c r="AB12" s="34"/>
      <c r="AC12" s="34"/>
      <c r="AD12" s="34"/>
      <c r="AE12" s="34"/>
      <c r="AF12" s="34"/>
      <c r="AG12" s="34"/>
      <c r="AH12" s="34">
        <v>1376635</v>
      </c>
      <c r="AI12" s="34"/>
      <c r="AJ12" s="64">
        <f t="shared" si="0"/>
        <v>6152688</v>
      </c>
      <c r="BN12" s="1"/>
      <c r="BO12" s="1"/>
    </row>
    <row r="13" spans="1:67" s="1" customFormat="1" x14ac:dyDescent="0.25">
      <c r="A13" s="35" t="s">
        <v>103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64"/>
    </row>
    <row r="14" spans="1:67" x14ac:dyDescent="0.25">
      <c r="A14" s="37" t="s">
        <v>104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v>89815</v>
      </c>
      <c r="W14" s="38">
        <v>357671</v>
      </c>
      <c r="X14" s="38">
        <v>233907</v>
      </c>
      <c r="Y14" s="38"/>
      <c r="Z14" s="38"/>
      <c r="AA14" s="38"/>
      <c r="AB14" s="38"/>
      <c r="AC14" s="38"/>
      <c r="AD14" s="38"/>
      <c r="AE14" s="38"/>
      <c r="AF14" s="38"/>
      <c r="AG14" s="38"/>
      <c r="AH14" s="38">
        <v>586358</v>
      </c>
      <c r="AI14" s="38"/>
      <c r="AJ14" s="64">
        <f t="shared" ref="AJ14:AJ19" si="1">SUM(B14:AI14)</f>
        <v>1267751</v>
      </c>
      <c r="BN14" s="1"/>
      <c r="BO14" s="1"/>
    </row>
    <row r="15" spans="1:67" x14ac:dyDescent="0.25">
      <c r="A15" s="37" t="s">
        <v>105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64">
        <f t="shared" si="1"/>
        <v>0</v>
      </c>
      <c r="BN15" s="1"/>
      <c r="BO15" s="1"/>
    </row>
    <row r="16" spans="1:67" x14ac:dyDescent="0.25">
      <c r="A16" s="37" t="s">
        <v>106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64">
        <f t="shared" si="1"/>
        <v>0</v>
      </c>
      <c r="BN16" s="1"/>
      <c r="BO16" s="1"/>
    </row>
    <row r="17" spans="1:67" x14ac:dyDescent="0.25">
      <c r="A17" s="37" t="s">
        <v>107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v>300942</v>
      </c>
      <c r="W17" s="38"/>
      <c r="X17" s="38">
        <v>152280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>
        <v>179408</v>
      </c>
      <c r="AI17" s="38"/>
      <c r="AJ17" s="64">
        <f t="shared" si="1"/>
        <v>632630</v>
      </c>
      <c r="BN17" s="1"/>
      <c r="BO17" s="1"/>
    </row>
    <row r="18" spans="1:67" x14ac:dyDescent="0.25">
      <c r="A18" s="37" t="s">
        <v>108</v>
      </c>
      <c r="B18" s="38"/>
      <c r="C18" s="38"/>
      <c r="D18" s="38">
        <v>120461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>
        <v>59840</v>
      </c>
      <c r="U18" s="38"/>
      <c r="V18" s="38">
        <v>639</v>
      </c>
      <c r="W18" s="38">
        <v>2429473</v>
      </c>
      <c r="X18" s="38">
        <v>1031025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>
        <v>610869</v>
      </c>
      <c r="AI18" s="38"/>
      <c r="AJ18" s="64">
        <f t="shared" si="1"/>
        <v>4252307</v>
      </c>
      <c r="BN18" s="1"/>
      <c r="BO18" s="1"/>
    </row>
    <row r="19" spans="1:67" s="32" customFormat="1" x14ac:dyDescent="0.25">
      <c r="A19" s="33" t="s">
        <v>61</v>
      </c>
      <c r="B19" s="34"/>
      <c r="C19" s="34"/>
      <c r="D19" s="34">
        <v>120461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59840</v>
      </c>
      <c r="U19" s="34"/>
      <c r="V19" s="34">
        <v>391396</v>
      </c>
      <c r="W19" s="34">
        <v>2787144</v>
      </c>
      <c r="X19" s="34">
        <v>1417212</v>
      </c>
      <c r="Y19" s="34"/>
      <c r="Z19" s="34"/>
      <c r="AA19" s="34"/>
      <c r="AB19" s="34"/>
      <c r="AC19" s="34"/>
      <c r="AD19" s="34"/>
      <c r="AE19" s="34"/>
      <c r="AF19" s="34"/>
      <c r="AG19" s="34"/>
      <c r="AH19" s="34">
        <v>1376635</v>
      </c>
      <c r="AI19" s="34"/>
      <c r="AJ19" s="64">
        <f t="shared" si="1"/>
        <v>6152688</v>
      </c>
      <c r="BN19" s="1"/>
      <c r="BO19" s="1"/>
    </row>
    <row r="20" spans="1:67" s="1" customFormat="1" x14ac:dyDescent="0.25">
      <c r="A20" s="35" t="s">
        <v>109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64"/>
    </row>
    <row r="21" spans="1:67" x14ac:dyDescent="0.25">
      <c r="A21" s="37" t="s">
        <v>110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64">
        <f t="shared" ref="AJ21:AJ32" si="2">SUM(B21:AI21)</f>
        <v>0</v>
      </c>
      <c r="BN21" s="1"/>
      <c r="BO21" s="1"/>
    </row>
    <row r="22" spans="1:67" x14ac:dyDescent="0.25">
      <c r="A22" s="37" t="s">
        <v>99</v>
      </c>
      <c r="B22" s="38"/>
      <c r="C22" s="38"/>
      <c r="D22" s="38">
        <v>120461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>
        <v>59840</v>
      </c>
      <c r="U22" s="38"/>
      <c r="V22" s="38">
        <v>100609</v>
      </c>
      <c r="W22" s="38">
        <v>2787144</v>
      </c>
      <c r="X22" s="38">
        <v>1274652</v>
      </c>
      <c r="Y22" s="38"/>
      <c r="Z22" s="38"/>
      <c r="AA22" s="38"/>
      <c r="AB22" s="38"/>
      <c r="AC22" s="38"/>
      <c r="AD22" s="38"/>
      <c r="AE22" s="38"/>
      <c r="AF22" s="38"/>
      <c r="AG22" s="38"/>
      <c r="AH22" s="38">
        <v>1198420</v>
      </c>
      <c r="AI22" s="38"/>
      <c r="AJ22" s="64">
        <f t="shared" si="2"/>
        <v>5541126</v>
      </c>
      <c r="BN22" s="1"/>
      <c r="BO22" s="1"/>
    </row>
    <row r="23" spans="1:67" x14ac:dyDescent="0.25">
      <c r="A23" s="37" t="s">
        <v>100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64">
        <f t="shared" si="2"/>
        <v>0</v>
      </c>
      <c r="BN23" s="1"/>
      <c r="BO23" s="1"/>
    </row>
    <row r="24" spans="1:67" x14ac:dyDescent="0.25">
      <c r="A24" s="37" t="s">
        <v>111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64">
        <f t="shared" si="2"/>
        <v>0</v>
      </c>
      <c r="BN24" s="1"/>
      <c r="BO24" s="1"/>
    </row>
    <row r="25" spans="1:67" x14ac:dyDescent="0.25">
      <c r="A25" s="37" t="s">
        <v>99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v>290787</v>
      </c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>
        <v>178215</v>
      </c>
      <c r="AI25" s="38"/>
      <c r="AJ25" s="64">
        <f t="shared" si="2"/>
        <v>469002</v>
      </c>
      <c r="BN25" s="1"/>
      <c r="BO25" s="1"/>
    </row>
    <row r="26" spans="1:67" x14ac:dyDescent="0.25">
      <c r="A26" s="37" t="s">
        <v>100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64">
        <f t="shared" si="2"/>
        <v>0</v>
      </c>
      <c r="BN26" s="1"/>
      <c r="BO26" s="1"/>
    </row>
    <row r="27" spans="1:67" x14ac:dyDescent="0.25">
      <c r="A27" s="37" t="s">
        <v>163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38"/>
      <c r="Q27" s="38"/>
      <c r="R27" s="38"/>
      <c r="S27" s="38"/>
      <c r="T27" s="38"/>
      <c r="U27" s="38"/>
      <c r="V27" s="38"/>
      <c r="W27" s="38"/>
      <c r="X27" s="38">
        <v>142560</v>
      </c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64">
        <f t="shared" si="2"/>
        <v>142560</v>
      </c>
      <c r="BN27" s="1"/>
      <c r="BO27" s="1"/>
    </row>
    <row r="28" spans="1:67" s="32" customFormat="1" x14ac:dyDescent="0.25">
      <c r="A28" s="33" t="s">
        <v>61</v>
      </c>
      <c r="B28" s="34"/>
      <c r="C28" s="34"/>
      <c r="D28" s="34">
        <v>120461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>
        <v>59840</v>
      </c>
      <c r="U28" s="34"/>
      <c r="V28" s="34">
        <v>391396</v>
      </c>
      <c r="W28" s="34">
        <v>2787144</v>
      </c>
      <c r="X28" s="34">
        <v>1417212</v>
      </c>
      <c r="Y28" s="34"/>
      <c r="Z28" s="34"/>
      <c r="AA28" s="34"/>
      <c r="AB28" s="34"/>
      <c r="AC28" s="34"/>
      <c r="AD28" s="34"/>
      <c r="AE28" s="34"/>
      <c r="AF28" s="34"/>
      <c r="AG28" s="34"/>
      <c r="AH28" s="34">
        <v>1376635</v>
      </c>
      <c r="AI28" s="34"/>
      <c r="AJ28" s="64">
        <f t="shared" si="2"/>
        <v>6152688</v>
      </c>
      <c r="BN28" s="1"/>
      <c r="BO28" s="1"/>
    </row>
    <row r="29" spans="1:67" s="1" customFormat="1" x14ac:dyDescent="0.25">
      <c r="A29" s="35" t="s">
        <v>112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64"/>
    </row>
    <row r="30" spans="1:67" x14ac:dyDescent="0.25">
      <c r="A30" s="37" t="s">
        <v>113</v>
      </c>
      <c r="B30" s="38"/>
      <c r="C30" s="38"/>
      <c r="D30" s="38">
        <v>10140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>
        <v>626</v>
      </c>
      <c r="W30" s="38">
        <v>72489</v>
      </c>
      <c r="X30" s="38">
        <v>58809</v>
      </c>
      <c r="Y30" s="38"/>
      <c r="Z30" s="38"/>
      <c r="AA30" s="38"/>
      <c r="AB30" s="38"/>
      <c r="AC30" s="38"/>
      <c r="AD30" s="38"/>
      <c r="AE30" s="38"/>
      <c r="AF30" s="38"/>
      <c r="AG30" s="38"/>
      <c r="AH30" s="38">
        <v>109995</v>
      </c>
      <c r="AI30" s="38"/>
      <c r="AJ30" s="64">
        <f t="shared" si="2"/>
        <v>252059</v>
      </c>
      <c r="BN30" s="1"/>
      <c r="BO30" s="1"/>
    </row>
    <row r="31" spans="1:67" x14ac:dyDescent="0.25">
      <c r="A31" s="37" t="s">
        <v>114</v>
      </c>
      <c r="B31" s="38"/>
      <c r="C31" s="38"/>
      <c r="D31" s="38">
        <v>110321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>
        <v>59840</v>
      </c>
      <c r="U31" s="38"/>
      <c r="V31" s="38">
        <v>390770</v>
      </c>
      <c r="W31" s="38">
        <v>2714655</v>
      </c>
      <c r="X31" s="38">
        <v>1358403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>
        <v>1266640</v>
      </c>
      <c r="AI31" s="38"/>
      <c r="AJ31" s="64">
        <f t="shared" si="2"/>
        <v>5900629</v>
      </c>
      <c r="BN31" s="1"/>
      <c r="BO31" s="1"/>
    </row>
    <row r="32" spans="1:67" s="32" customFormat="1" x14ac:dyDescent="0.25">
      <c r="A32" s="33" t="s">
        <v>61</v>
      </c>
      <c r="B32" s="34"/>
      <c r="C32" s="34"/>
      <c r="D32" s="34">
        <v>120461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>
        <v>59840</v>
      </c>
      <c r="U32" s="34"/>
      <c r="V32" s="34">
        <v>391396</v>
      </c>
      <c r="W32" s="34">
        <v>2787144</v>
      </c>
      <c r="X32" s="34">
        <v>1417212</v>
      </c>
      <c r="Y32" s="34"/>
      <c r="Z32" s="34"/>
      <c r="AA32" s="34"/>
      <c r="AB32" s="34"/>
      <c r="AC32" s="34"/>
      <c r="AD32" s="34"/>
      <c r="AE32" s="34"/>
      <c r="AF32" s="34"/>
      <c r="AG32" s="34"/>
      <c r="AH32" s="34">
        <v>1376635</v>
      </c>
      <c r="AI32" s="34"/>
      <c r="AJ32" s="64">
        <f t="shared" si="2"/>
        <v>6152688</v>
      </c>
      <c r="BN32" s="1"/>
      <c r="BO32" s="1"/>
    </row>
    <row r="33" spans="15:67" x14ac:dyDescent="0.25">
      <c r="O33" s="18"/>
      <c r="BN33" s="1"/>
      <c r="BO33" s="1"/>
    </row>
    <row r="34" spans="15:67" x14ac:dyDescent="0.25">
      <c r="O34" s="3"/>
      <c r="BN34" s="1"/>
      <c r="BO34" s="1"/>
    </row>
    <row r="35" spans="15:67" x14ac:dyDescent="0.25">
      <c r="O35" s="18"/>
      <c r="BN35" s="1"/>
      <c r="BO35" s="1"/>
    </row>
    <row r="36" spans="15:67" x14ac:dyDescent="0.25">
      <c r="O36" s="3"/>
      <c r="BN36" s="1"/>
      <c r="BO36" s="1"/>
    </row>
    <row r="37" spans="15:67" x14ac:dyDescent="0.25">
      <c r="O37" s="18"/>
      <c r="BN37" s="1"/>
      <c r="BO37" s="1"/>
    </row>
    <row r="38" spans="15:67" x14ac:dyDescent="0.25">
      <c r="O38" s="3"/>
      <c r="BN38" s="1"/>
      <c r="BO38" s="1"/>
    </row>
    <row r="39" spans="15:67" x14ac:dyDescent="0.25">
      <c r="O39" s="3"/>
      <c r="BN39" s="1"/>
      <c r="BO39" s="1"/>
    </row>
    <row r="40" spans="15:67" x14ac:dyDescent="0.25">
      <c r="O40" s="3"/>
      <c r="BN40" s="1"/>
      <c r="BO40" s="1"/>
    </row>
    <row r="41" spans="15:67" x14ac:dyDescent="0.25">
      <c r="O41" s="3"/>
      <c r="BN41" s="1"/>
      <c r="BO41" s="1"/>
    </row>
    <row r="42" spans="15:67" x14ac:dyDescent="0.25">
      <c r="O42" s="18"/>
      <c r="BN42" s="1"/>
      <c r="BO42" s="1"/>
    </row>
    <row r="43" spans="15:67" x14ac:dyDescent="0.25">
      <c r="O43" s="18"/>
      <c r="BN43" s="1"/>
      <c r="BO43" s="1"/>
    </row>
    <row r="44" spans="15:67" x14ac:dyDescent="0.25">
      <c r="O44" s="3"/>
      <c r="BN44" s="1"/>
      <c r="BO44" s="1"/>
    </row>
    <row r="45" spans="15:67" x14ac:dyDescent="0.25">
      <c r="O45" s="19"/>
      <c r="BN45" s="1"/>
      <c r="BO45" s="1"/>
    </row>
    <row r="46" spans="15:67" x14ac:dyDescent="0.25">
      <c r="O46" s="3"/>
      <c r="BN46" s="1"/>
      <c r="BO46" s="1"/>
    </row>
    <row r="47" spans="15:67" x14ac:dyDescent="0.25">
      <c r="O47" s="3"/>
      <c r="BN47" s="1"/>
      <c r="BO47" s="1"/>
    </row>
    <row r="48" spans="15:67" x14ac:dyDescent="0.25">
      <c r="O48" s="3"/>
      <c r="BN48" s="1"/>
      <c r="BO48" s="1"/>
    </row>
    <row r="49" spans="15:67" x14ac:dyDescent="0.25">
      <c r="O49" s="3"/>
      <c r="BN49" s="1"/>
      <c r="BO49" s="1"/>
    </row>
    <row r="50" spans="15:67" x14ac:dyDescent="0.25">
      <c r="O50" s="3"/>
      <c r="BN50" s="1"/>
      <c r="BO50" s="1"/>
    </row>
    <row r="51" spans="15:67" x14ac:dyDescent="0.25">
      <c r="O51" s="16">
        <v>18168181</v>
      </c>
      <c r="BN51" s="1"/>
      <c r="BO51" s="1"/>
    </row>
    <row r="52" spans="15:67" x14ac:dyDescent="0.25">
      <c r="O52" s="16">
        <v>6100204</v>
      </c>
      <c r="BN52" s="1"/>
      <c r="BO52" s="1"/>
    </row>
    <row r="53" spans="15:67" x14ac:dyDescent="0.25">
      <c r="O53" s="3"/>
      <c r="BN53" s="1"/>
      <c r="BO53" s="1"/>
    </row>
    <row r="54" spans="15:67" x14ac:dyDescent="0.25">
      <c r="O54" s="3"/>
      <c r="BN54" s="1"/>
      <c r="BO54" s="1"/>
    </row>
    <row r="55" spans="15:67" x14ac:dyDescent="0.25">
      <c r="O55" s="16">
        <v>2600514</v>
      </c>
      <c r="BN55" s="1"/>
      <c r="BO55" s="1"/>
    </row>
    <row r="56" spans="15:67" x14ac:dyDescent="0.25">
      <c r="O56" s="16">
        <v>53757</v>
      </c>
      <c r="BN56" s="1"/>
      <c r="BO56" s="1"/>
    </row>
    <row r="57" spans="15:67" x14ac:dyDescent="0.25">
      <c r="O57" s="3"/>
      <c r="BN57" s="1"/>
      <c r="BO57" s="1"/>
    </row>
    <row r="58" spans="15:67" x14ac:dyDescent="0.25">
      <c r="O58" s="3"/>
      <c r="BN58" s="1"/>
      <c r="BO58" s="1"/>
    </row>
    <row r="59" spans="15:67" x14ac:dyDescent="0.25">
      <c r="O59" s="16">
        <v>10704856</v>
      </c>
      <c r="BN59" s="1"/>
      <c r="BO59" s="1"/>
    </row>
    <row r="60" spans="15:67" x14ac:dyDescent="0.25">
      <c r="O60" s="3"/>
      <c r="BN60" s="1"/>
      <c r="BO60" s="1"/>
    </row>
    <row r="61" spans="15:67" x14ac:dyDescent="0.25">
      <c r="O61" s="16">
        <v>336110</v>
      </c>
      <c r="BN61" s="1"/>
      <c r="BO61" s="1"/>
    </row>
    <row r="62" spans="15:67" x14ac:dyDescent="0.25">
      <c r="O62" s="3"/>
      <c r="BN62" s="1"/>
      <c r="BO62" s="1"/>
    </row>
    <row r="63" spans="15:67" x14ac:dyDescent="0.25">
      <c r="O63" s="3"/>
      <c r="BN63" s="1"/>
      <c r="BO63" s="1"/>
    </row>
    <row r="64" spans="15:67" x14ac:dyDescent="0.25">
      <c r="O64" s="3"/>
      <c r="BN64" s="1"/>
      <c r="BO64" s="1"/>
    </row>
    <row r="65" spans="15:67" x14ac:dyDescent="0.25">
      <c r="O65" s="16">
        <v>17948264</v>
      </c>
      <c r="BN65" s="1"/>
      <c r="BO65" s="1"/>
    </row>
    <row r="66" spans="15:67" x14ac:dyDescent="0.25">
      <c r="O66" s="3">
        <v>973343</v>
      </c>
      <c r="BN66" s="1"/>
      <c r="BO66" s="1"/>
    </row>
    <row r="67" spans="15:67" x14ac:dyDescent="0.25">
      <c r="O67" s="3"/>
      <c r="BN67" s="1"/>
      <c r="BO67" s="1"/>
    </row>
    <row r="68" spans="15:67" x14ac:dyDescent="0.25">
      <c r="O68" s="3"/>
      <c r="BN68" s="1"/>
      <c r="BO68" s="1"/>
    </row>
    <row r="69" spans="15:67" x14ac:dyDescent="0.25">
      <c r="O69" s="3"/>
      <c r="BN69" s="1"/>
      <c r="BO69" s="1"/>
    </row>
    <row r="70" spans="15:67" x14ac:dyDescent="0.25">
      <c r="O70" s="16">
        <v>1375959</v>
      </c>
      <c r="BN70" s="1"/>
      <c r="BO70" s="1"/>
    </row>
    <row r="71" spans="15:67" x14ac:dyDescent="0.25">
      <c r="O71" s="3"/>
      <c r="BN71" s="1"/>
      <c r="BO71" s="1"/>
    </row>
    <row r="72" spans="15:67" x14ac:dyDescent="0.25">
      <c r="O72" s="3"/>
      <c r="BN72" s="1"/>
      <c r="BO72" s="1"/>
    </row>
    <row r="73" spans="15:67" x14ac:dyDescent="0.25">
      <c r="O73" s="3"/>
      <c r="BN73" s="1"/>
      <c r="BO73" s="1"/>
    </row>
    <row r="74" spans="15:67" x14ac:dyDescent="0.25">
      <c r="O74" s="3"/>
      <c r="BN74" s="1"/>
      <c r="BO74" s="1"/>
    </row>
    <row r="75" spans="15:67" x14ac:dyDescent="0.25">
      <c r="O75" s="3"/>
      <c r="BN75" s="1"/>
      <c r="BO75" s="1"/>
    </row>
    <row r="76" spans="15:67" x14ac:dyDescent="0.25">
      <c r="O76" s="16">
        <v>2335077</v>
      </c>
      <c r="BN76" s="1"/>
      <c r="BO76" s="1"/>
    </row>
    <row r="77" spans="15:67" x14ac:dyDescent="0.25">
      <c r="O77" s="3"/>
      <c r="BN77" s="1"/>
      <c r="BO77" s="1"/>
    </row>
    <row r="78" spans="15:67" x14ac:dyDescent="0.25">
      <c r="O78" s="16">
        <v>1487508</v>
      </c>
      <c r="BN78" s="1"/>
      <c r="BO78" s="1"/>
    </row>
    <row r="79" spans="15:67" x14ac:dyDescent="0.25">
      <c r="O79" s="3"/>
      <c r="BN79" s="1"/>
      <c r="BO79" s="1"/>
    </row>
    <row r="80" spans="15:67" x14ac:dyDescent="0.25">
      <c r="O80" s="16">
        <v>1413880</v>
      </c>
      <c r="BN80" s="1"/>
      <c r="BO80" s="1"/>
    </row>
    <row r="81" spans="15:67" x14ac:dyDescent="0.25">
      <c r="O81" s="3"/>
      <c r="BN81" s="1"/>
      <c r="BO81" s="1"/>
    </row>
    <row r="82" spans="15:67" x14ac:dyDescent="0.25">
      <c r="O82" s="3"/>
      <c r="BN82" s="1"/>
      <c r="BO82" s="1"/>
    </row>
    <row r="83" spans="15:67" x14ac:dyDescent="0.25">
      <c r="O83" s="3"/>
      <c r="BN83" s="1"/>
      <c r="BO83" s="1"/>
    </row>
    <row r="84" spans="15:67" x14ac:dyDescent="0.25">
      <c r="O84" s="3"/>
      <c r="BN84" s="1"/>
      <c r="BO84" s="1"/>
    </row>
    <row r="85" spans="15:67" x14ac:dyDescent="0.25">
      <c r="O85" s="16">
        <v>4376443</v>
      </c>
      <c r="BN85" s="1"/>
      <c r="BO85" s="1"/>
    </row>
    <row r="86" spans="15:67" x14ac:dyDescent="0.25">
      <c r="O86" s="16">
        <v>418995</v>
      </c>
      <c r="BN86" s="1"/>
      <c r="BO86" s="1"/>
    </row>
    <row r="87" spans="15:67" x14ac:dyDescent="0.25">
      <c r="BN87" s="1"/>
      <c r="BO87" s="1"/>
    </row>
    <row r="88" spans="15:67" x14ac:dyDescent="0.25">
      <c r="O88" s="20">
        <v>68293089</v>
      </c>
      <c r="BN88" s="1"/>
      <c r="BO88" s="1"/>
    </row>
    <row r="89" spans="15:67" x14ac:dyDescent="0.25">
      <c r="BN89" s="1"/>
      <c r="BO89" s="1"/>
    </row>
    <row r="90" spans="15:67" x14ac:dyDescent="0.25">
      <c r="BN90" s="1"/>
      <c r="BO90" s="1"/>
    </row>
    <row r="91" spans="15:67" x14ac:dyDescent="0.25">
      <c r="BN91" s="1"/>
      <c r="BO91" s="1"/>
    </row>
    <row r="92" spans="15:67" x14ac:dyDescent="0.25">
      <c r="BN92" s="1"/>
      <c r="BO92" s="1"/>
    </row>
    <row r="93" spans="15:67" x14ac:dyDescent="0.25">
      <c r="BN93" s="1"/>
      <c r="BO93" s="1"/>
    </row>
    <row r="94" spans="15:67" x14ac:dyDescent="0.25">
      <c r="BN94" s="1"/>
      <c r="BO94" s="1"/>
    </row>
    <row r="95" spans="15:67" x14ac:dyDescent="0.25">
      <c r="BN95" s="1"/>
      <c r="BO95" s="1"/>
    </row>
    <row r="96" spans="15:67" x14ac:dyDescent="0.25">
      <c r="BN96" s="1"/>
      <c r="BO96" s="1"/>
    </row>
    <row r="97" spans="66:67" x14ac:dyDescent="0.25">
      <c r="BN97" s="1"/>
      <c r="BO97" s="1"/>
    </row>
    <row r="98" spans="66:67" x14ac:dyDescent="0.25">
      <c r="BN98" s="1"/>
      <c r="BO98" s="1"/>
    </row>
    <row r="99" spans="66:67" x14ac:dyDescent="0.25">
      <c r="BN99" s="1"/>
      <c r="BO99" s="1"/>
    </row>
    <row r="100" spans="66:67" x14ac:dyDescent="0.25">
      <c r="BN100" s="1"/>
      <c r="BO100" s="1"/>
    </row>
    <row r="101" spans="66:67" x14ac:dyDescent="0.25">
      <c r="BN101" s="1"/>
      <c r="BO101" s="1"/>
    </row>
    <row r="102" spans="66:67" x14ac:dyDescent="0.25">
      <c r="BN102" s="1"/>
      <c r="BO102" s="1"/>
    </row>
    <row r="103" spans="66:67" x14ac:dyDescent="0.25">
      <c r="BN103" s="1"/>
      <c r="BO103" s="1"/>
    </row>
    <row r="104" spans="66:67" x14ac:dyDescent="0.25">
      <c r="BN104" s="1"/>
      <c r="BO104" s="1"/>
    </row>
    <row r="105" spans="66:67" x14ac:dyDescent="0.25">
      <c r="BN105" s="1"/>
      <c r="BO105" s="1"/>
    </row>
    <row r="106" spans="66:67" x14ac:dyDescent="0.25">
      <c r="BN106" s="1"/>
      <c r="BO106" s="1"/>
    </row>
    <row r="107" spans="66:67" x14ac:dyDescent="0.25">
      <c r="BN107" s="1"/>
      <c r="BO107" s="1"/>
    </row>
    <row r="108" spans="66:67" x14ac:dyDescent="0.25">
      <c r="BN108" s="1"/>
      <c r="BO108" s="1"/>
    </row>
    <row r="109" spans="66:67" x14ac:dyDescent="0.25">
      <c r="BN109" s="1"/>
      <c r="BO109" s="1"/>
    </row>
    <row r="110" spans="66:67" x14ac:dyDescent="0.25">
      <c r="BN110" s="1"/>
      <c r="BO110" s="1"/>
    </row>
    <row r="111" spans="66:67" x14ac:dyDescent="0.25">
      <c r="BN111" s="1"/>
      <c r="BO111" s="1"/>
    </row>
    <row r="112" spans="66:67" x14ac:dyDescent="0.25">
      <c r="BN112" s="1"/>
      <c r="BO112" s="1"/>
    </row>
    <row r="113" spans="66:67" x14ac:dyDescent="0.25">
      <c r="BN113" s="1"/>
      <c r="BO113" s="1"/>
    </row>
    <row r="114" spans="66:67" x14ac:dyDescent="0.25">
      <c r="BN114" s="1"/>
      <c r="BO114" s="1"/>
    </row>
    <row r="115" spans="66:67" x14ac:dyDescent="0.25">
      <c r="BN115" s="1"/>
      <c r="BO115" s="1"/>
    </row>
    <row r="116" spans="66:67" x14ac:dyDescent="0.25">
      <c r="BN116" s="1"/>
      <c r="BO116" s="1"/>
    </row>
    <row r="117" spans="66:67" x14ac:dyDescent="0.25">
      <c r="BN117" s="1"/>
      <c r="BO117" s="1"/>
    </row>
    <row r="118" spans="66:67" x14ac:dyDescent="0.25">
      <c r="BN118" s="1"/>
      <c r="BO118" s="1"/>
    </row>
    <row r="119" spans="66:67" x14ac:dyDescent="0.25">
      <c r="BN119" s="1"/>
      <c r="BO119" s="1"/>
    </row>
    <row r="120" spans="66:67" x14ac:dyDescent="0.25">
      <c r="BN120" s="1"/>
      <c r="BO120" s="1"/>
    </row>
    <row r="121" spans="66:67" x14ac:dyDescent="0.25">
      <c r="BN121" s="1"/>
      <c r="BO121" s="1"/>
    </row>
    <row r="122" spans="66:67" x14ac:dyDescent="0.25">
      <c r="BN122" s="1"/>
      <c r="BO122" s="1"/>
    </row>
    <row r="123" spans="66:67" x14ac:dyDescent="0.25">
      <c r="BN123" s="1"/>
      <c r="BO123" s="1"/>
    </row>
    <row r="124" spans="66:67" x14ac:dyDescent="0.25">
      <c r="BN124" s="1"/>
      <c r="BO124" s="1"/>
    </row>
    <row r="125" spans="66:67" x14ac:dyDescent="0.25">
      <c r="BN125" s="1"/>
      <c r="BO125" s="1"/>
    </row>
    <row r="126" spans="66:67" x14ac:dyDescent="0.25">
      <c r="BN126" s="1"/>
      <c r="BO126" s="1"/>
    </row>
    <row r="127" spans="66:67" x14ac:dyDescent="0.25">
      <c r="BN127" s="1"/>
      <c r="BO127" s="1"/>
    </row>
    <row r="128" spans="66:67" x14ac:dyDescent="0.25">
      <c r="BN128" s="1"/>
      <c r="BO128" s="1"/>
    </row>
    <row r="129" spans="66:67" x14ac:dyDescent="0.25">
      <c r="BN129" s="1"/>
      <c r="BO129" s="1"/>
    </row>
    <row r="130" spans="66:67" x14ac:dyDescent="0.25">
      <c r="BN130" s="1"/>
      <c r="BO130" s="1"/>
    </row>
    <row r="131" spans="66:67" x14ac:dyDescent="0.25">
      <c r="BN131" s="1"/>
      <c r="BO131" s="1"/>
    </row>
    <row r="132" spans="66:67" x14ac:dyDescent="0.25">
      <c r="BN132" s="1"/>
      <c r="BO132" s="1"/>
    </row>
    <row r="133" spans="66:67" x14ac:dyDescent="0.25">
      <c r="BN133" s="1"/>
      <c r="BO133" s="1"/>
    </row>
    <row r="134" spans="66:67" x14ac:dyDescent="0.25">
      <c r="BN134" s="1"/>
      <c r="BO134" s="1"/>
    </row>
    <row r="135" spans="66:67" x14ac:dyDescent="0.25">
      <c r="BN135" s="1"/>
      <c r="BO135" s="1"/>
    </row>
    <row r="136" spans="66:67" x14ac:dyDescent="0.25">
      <c r="BN136" s="1"/>
      <c r="BO136" s="1"/>
    </row>
    <row r="137" spans="66:67" x14ac:dyDescent="0.25">
      <c r="BN137" s="1"/>
      <c r="BO137" s="1"/>
    </row>
    <row r="138" spans="66:67" x14ac:dyDescent="0.25">
      <c r="BN138" s="1"/>
      <c r="BO138" s="1"/>
    </row>
    <row r="139" spans="66:67" x14ac:dyDescent="0.25">
      <c r="BN139" s="1"/>
      <c r="BO139" s="1"/>
    </row>
    <row r="140" spans="66:67" x14ac:dyDescent="0.25">
      <c r="BN140" s="1"/>
      <c r="BO140" s="1"/>
    </row>
    <row r="141" spans="66:67" x14ac:dyDescent="0.25">
      <c r="BN141" s="1"/>
      <c r="BO141" s="1"/>
    </row>
    <row r="142" spans="66:67" x14ac:dyDescent="0.25">
      <c r="BN142" s="1"/>
      <c r="BO142" s="1"/>
    </row>
    <row r="143" spans="66:67" x14ac:dyDescent="0.25">
      <c r="BN143" s="1"/>
      <c r="BO143" s="1"/>
    </row>
    <row r="144" spans="66:67" x14ac:dyDescent="0.25">
      <c r="BN144" s="1"/>
      <c r="BO144" s="1"/>
    </row>
    <row r="145" spans="66:67" x14ac:dyDescent="0.25">
      <c r="BN145" s="1"/>
      <c r="BO145" s="1"/>
    </row>
    <row r="146" spans="66:67" x14ac:dyDescent="0.25">
      <c r="BN146" s="1"/>
      <c r="BO146" s="1"/>
    </row>
    <row r="147" spans="66:67" x14ac:dyDescent="0.25">
      <c r="BN147" s="1"/>
      <c r="BO147" s="1"/>
    </row>
    <row r="148" spans="66:67" x14ac:dyDescent="0.25">
      <c r="BN148" s="1"/>
      <c r="BO148" s="1"/>
    </row>
    <row r="149" spans="66:67" x14ac:dyDescent="0.25">
      <c r="BN149" s="1"/>
      <c r="BO149" s="1"/>
    </row>
    <row r="150" spans="66:67" x14ac:dyDescent="0.25">
      <c r="BN150" s="1"/>
      <c r="BO150" s="1"/>
    </row>
    <row r="151" spans="66:67" x14ac:dyDescent="0.25">
      <c r="BN151" s="1"/>
      <c r="BO151" s="1"/>
    </row>
    <row r="152" spans="66:67" x14ac:dyDescent="0.25">
      <c r="BN152" s="1"/>
      <c r="BO152" s="1"/>
    </row>
    <row r="153" spans="66:67" x14ac:dyDescent="0.25">
      <c r="BN153" s="1"/>
      <c r="BO153" s="1"/>
    </row>
    <row r="154" spans="66:67" x14ac:dyDescent="0.25">
      <c r="BN154" s="1"/>
      <c r="BO154" s="1"/>
    </row>
    <row r="155" spans="66:67" x14ac:dyDescent="0.25">
      <c r="BN155" s="1"/>
      <c r="BO155" s="1"/>
    </row>
    <row r="156" spans="66:67" x14ac:dyDescent="0.25">
      <c r="BN156" s="1"/>
      <c r="BO156" s="1"/>
    </row>
    <row r="157" spans="66:67" x14ac:dyDescent="0.25">
      <c r="BN157" s="1"/>
      <c r="BO157" s="1"/>
    </row>
    <row r="158" spans="66:67" x14ac:dyDescent="0.25">
      <c r="BN158" s="1"/>
      <c r="BO158" s="1"/>
    </row>
    <row r="159" spans="66:67" x14ac:dyDescent="0.25">
      <c r="BN159" s="1"/>
      <c r="BO159" s="1"/>
    </row>
    <row r="160" spans="66:67" x14ac:dyDescent="0.25">
      <c r="BN160" s="1"/>
      <c r="BO160" s="1"/>
    </row>
    <row r="161" spans="66:67" x14ac:dyDescent="0.25">
      <c r="BN161" s="1"/>
      <c r="BO161" s="1"/>
    </row>
    <row r="162" spans="66:67" x14ac:dyDescent="0.25">
      <c r="BN162" s="1"/>
      <c r="BO162" s="1"/>
    </row>
    <row r="163" spans="66:67" x14ac:dyDescent="0.25">
      <c r="BN163" s="1"/>
      <c r="BO163" s="1"/>
    </row>
    <row r="164" spans="66:67" x14ac:dyDescent="0.25">
      <c r="BN164" s="1"/>
      <c r="BO164" s="1"/>
    </row>
    <row r="165" spans="66:67" x14ac:dyDescent="0.25">
      <c r="BN165" s="1"/>
      <c r="BO165" s="1"/>
    </row>
    <row r="166" spans="66:67" x14ac:dyDescent="0.25">
      <c r="BN166" s="1"/>
      <c r="BO166" s="1"/>
    </row>
    <row r="167" spans="66:67" x14ac:dyDescent="0.25">
      <c r="BN167" s="1"/>
      <c r="BO167" s="1"/>
    </row>
    <row r="168" spans="66:67" x14ac:dyDescent="0.25">
      <c r="BN168" s="1"/>
      <c r="BO168" s="1"/>
    </row>
    <row r="169" spans="66:67" x14ac:dyDescent="0.25">
      <c r="BN169" s="1"/>
      <c r="BO169" s="1"/>
    </row>
    <row r="170" spans="66:67" x14ac:dyDescent="0.25">
      <c r="BN170" s="1"/>
      <c r="BO170" s="1"/>
    </row>
    <row r="171" spans="66:67" x14ac:dyDescent="0.25">
      <c r="BN171" s="1"/>
      <c r="BO171" s="1"/>
    </row>
    <row r="172" spans="66:67" x14ac:dyDescent="0.25">
      <c r="BN172" s="1"/>
      <c r="BO172" s="1"/>
    </row>
    <row r="173" spans="66:67" x14ac:dyDescent="0.25">
      <c r="BN173" s="1"/>
      <c r="BO173" s="1"/>
    </row>
    <row r="174" spans="66:67" x14ac:dyDescent="0.25">
      <c r="BN174" s="1"/>
      <c r="BO174" s="1"/>
    </row>
    <row r="175" spans="66:67" x14ac:dyDescent="0.25">
      <c r="BN175" s="1"/>
      <c r="BO175" s="1"/>
    </row>
    <row r="176" spans="66:67" x14ac:dyDescent="0.25">
      <c r="BN176" s="1"/>
      <c r="BO176" s="1"/>
    </row>
    <row r="177" spans="66:67" x14ac:dyDescent="0.25">
      <c r="BN177" s="1"/>
      <c r="BO177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8"/>
  <sheetViews>
    <sheetView workbookViewId="0">
      <pane xSplit="1" ySplit="3" topLeftCell="B4" activePane="bottomRight" state="frozen"/>
      <selection activeCell="K84" sqref="K84"/>
      <selection pane="topRight" activeCell="K84" sqref="K84"/>
      <selection pane="bottomLeft" activeCell="K84" sqref="K84"/>
      <selection pane="bottomRight" activeCell="B2" sqref="B2"/>
    </sheetView>
  </sheetViews>
  <sheetFormatPr defaultRowHeight="15" x14ac:dyDescent="0.25"/>
  <cols>
    <col min="1" max="1" width="31.140625" style="6" customWidth="1"/>
    <col min="2" max="36" width="16" style="4" customWidth="1"/>
    <col min="37" max="16384" width="9.140625" style="4"/>
  </cols>
  <sheetData>
    <row r="1" spans="1:36" ht="37.5" x14ac:dyDescent="0.3">
      <c r="A1" s="27" t="s">
        <v>328</v>
      </c>
    </row>
    <row r="2" spans="1:36" x14ac:dyDescent="0.25">
      <c r="A2" s="6" t="s">
        <v>43</v>
      </c>
    </row>
    <row r="3" spans="1:36" s="22" customFormat="1" x14ac:dyDescent="0.25">
      <c r="A3" s="26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03" t="s">
        <v>10</v>
      </c>
      <c r="L3" s="103" t="s">
        <v>11</v>
      </c>
      <c r="M3" s="103" t="s">
        <v>12</v>
      </c>
      <c r="N3" s="103" t="s">
        <v>13</v>
      </c>
      <c r="O3" s="103" t="s">
        <v>14</v>
      </c>
      <c r="P3" s="103" t="s">
        <v>15</v>
      </c>
      <c r="Q3" s="103" t="s">
        <v>16</v>
      </c>
      <c r="R3" s="103" t="s">
        <v>17</v>
      </c>
      <c r="S3" s="103" t="s">
        <v>18</v>
      </c>
      <c r="T3" s="103" t="s">
        <v>19</v>
      </c>
      <c r="U3" s="103" t="s">
        <v>20</v>
      </c>
      <c r="V3" s="103" t="s">
        <v>21</v>
      </c>
      <c r="W3" s="103" t="s">
        <v>147</v>
      </c>
      <c r="X3" s="103" t="s">
        <v>148</v>
      </c>
      <c r="Y3" s="103" t="s">
        <v>22</v>
      </c>
      <c r="Z3" s="103" t="s">
        <v>23</v>
      </c>
      <c r="AA3" s="103" t="s">
        <v>332</v>
      </c>
      <c r="AB3" s="103" t="s">
        <v>24</v>
      </c>
      <c r="AC3" s="103" t="s">
        <v>25</v>
      </c>
      <c r="AD3" s="103" t="s">
        <v>26</v>
      </c>
      <c r="AE3" s="103" t="s">
        <v>27</v>
      </c>
      <c r="AF3" s="103" t="s">
        <v>28</v>
      </c>
      <c r="AG3" s="103" t="s">
        <v>29</v>
      </c>
      <c r="AH3" s="103" t="s">
        <v>30</v>
      </c>
      <c r="AI3" s="103" t="s">
        <v>31</v>
      </c>
      <c r="AJ3" s="103" t="s">
        <v>250</v>
      </c>
    </row>
    <row r="4" spans="1:36" x14ac:dyDescent="0.25">
      <c r="A4" s="25" t="s">
        <v>115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>
        <f>SUM(B4:AI4)</f>
        <v>0</v>
      </c>
    </row>
    <row r="5" spans="1:36" x14ac:dyDescent="0.25">
      <c r="A5" s="25" t="s">
        <v>116</v>
      </c>
      <c r="B5" s="21">
        <v>2231</v>
      </c>
      <c r="C5" s="21">
        <v>376493</v>
      </c>
      <c r="D5" s="21">
        <v>1005160</v>
      </c>
      <c r="E5" s="21">
        <v>157003</v>
      </c>
      <c r="F5" s="21">
        <v>201036</v>
      </c>
      <c r="G5" s="21">
        <v>44328</v>
      </c>
      <c r="H5" s="21"/>
      <c r="I5" s="21">
        <v>18443</v>
      </c>
      <c r="J5" s="21">
        <v>300508</v>
      </c>
      <c r="K5" s="21">
        <v>84998</v>
      </c>
      <c r="L5" s="21">
        <v>17066.52</v>
      </c>
      <c r="M5" s="21">
        <v>49419</v>
      </c>
      <c r="N5" s="21">
        <v>20112</v>
      </c>
      <c r="O5" s="21">
        <v>322705</v>
      </c>
      <c r="P5" s="21">
        <v>621928</v>
      </c>
      <c r="Q5" s="21">
        <v>145158</v>
      </c>
      <c r="R5" s="21">
        <v>18544</v>
      </c>
      <c r="S5" s="21">
        <v>141539</v>
      </c>
      <c r="T5" s="21">
        <v>197459</v>
      </c>
      <c r="U5" s="21">
        <v>200152</v>
      </c>
      <c r="V5" s="21">
        <v>139478</v>
      </c>
      <c r="W5" s="21">
        <v>706970</v>
      </c>
      <c r="X5" s="38">
        <v>194264</v>
      </c>
      <c r="Y5" s="21">
        <v>9539</v>
      </c>
      <c r="Z5" s="21">
        <v>143747</v>
      </c>
      <c r="AA5" s="21">
        <v>423305</v>
      </c>
      <c r="AB5" s="21">
        <v>352482</v>
      </c>
      <c r="AC5" s="21">
        <v>92203</v>
      </c>
      <c r="AD5" s="21">
        <v>294708</v>
      </c>
      <c r="AE5" s="28">
        <v>24263</v>
      </c>
      <c r="AF5" s="21">
        <v>381764</v>
      </c>
      <c r="AG5" s="21">
        <v>504384</v>
      </c>
      <c r="AH5" s="143">
        <v>64772</v>
      </c>
      <c r="AI5" s="21">
        <v>25249</v>
      </c>
      <c r="AJ5" s="21">
        <f t="shared" ref="AJ5:AJ19" si="0">SUM(B5:AI5)</f>
        <v>7281410.5199999996</v>
      </c>
    </row>
    <row r="6" spans="1:36" x14ac:dyDescent="0.25">
      <c r="A6" s="25" t="s">
        <v>117</v>
      </c>
      <c r="B6" s="21"/>
      <c r="C6" s="21"/>
      <c r="D6" s="21"/>
      <c r="E6" s="21"/>
      <c r="F6" s="21"/>
      <c r="G6" s="21"/>
      <c r="H6" s="21">
        <v>58032</v>
      </c>
      <c r="I6" s="21"/>
      <c r="J6" s="21"/>
      <c r="K6" s="21"/>
      <c r="L6" s="21">
        <v>748152.33</v>
      </c>
      <c r="M6" s="21"/>
      <c r="N6" s="21"/>
      <c r="O6" s="21"/>
      <c r="P6" s="21">
        <v>2411770</v>
      </c>
      <c r="Q6" s="21">
        <v>37849</v>
      </c>
      <c r="R6" s="21"/>
      <c r="S6" s="21"/>
      <c r="T6" s="21"/>
      <c r="U6" s="21"/>
      <c r="V6" s="21">
        <v>6452</v>
      </c>
      <c r="W6" s="21">
        <v>137068</v>
      </c>
      <c r="X6" s="38">
        <v>58675</v>
      </c>
      <c r="Y6" s="21"/>
      <c r="Z6" s="21"/>
      <c r="AA6" s="21"/>
      <c r="AB6" s="21"/>
      <c r="AC6" s="21"/>
      <c r="AD6" s="21"/>
      <c r="AE6" s="21"/>
      <c r="AF6" s="21">
        <v>11600</v>
      </c>
      <c r="AG6" s="21"/>
      <c r="AH6" s="143">
        <v>125859</v>
      </c>
      <c r="AI6" s="21"/>
      <c r="AJ6" s="21">
        <f t="shared" si="0"/>
        <v>3595457.33</v>
      </c>
    </row>
    <row r="7" spans="1:36" x14ac:dyDescent="0.25">
      <c r="A7" s="25" t="s">
        <v>118</v>
      </c>
      <c r="B7" s="21"/>
      <c r="C7" s="21"/>
      <c r="D7" s="21"/>
      <c r="E7" s="21"/>
      <c r="F7" s="21"/>
      <c r="G7" s="21"/>
      <c r="H7" s="21"/>
      <c r="I7" s="21"/>
      <c r="J7" s="21"/>
      <c r="K7" s="21">
        <v>1557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>
        <v>295740</v>
      </c>
      <c r="W7" s="21">
        <v>287140</v>
      </c>
      <c r="X7" s="21"/>
      <c r="Y7" s="21"/>
      <c r="Z7" s="21"/>
      <c r="AA7" s="21"/>
      <c r="AB7" s="21"/>
      <c r="AC7" s="21"/>
      <c r="AD7" s="21"/>
      <c r="AE7" s="28">
        <v>214432</v>
      </c>
      <c r="AF7" s="21"/>
      <c r="AG7" s="21"/>
      <c r="AH7" s="143">
        <v>29619</v>
      </c>
      <c r="AI7" s="21">
        <v>1795</v>
      </c>
      <c r="AJ7" s="21">
        <f t="shared" si="0"/>
        <v>830283</v>
      </c>
    </row>
    <row r="8" spans="1:36" x14ac:dyDescent="0.25">
      <c r="A8" s="25" t="s">
        <v>336</v>
      </c>
      <c r="B8" s="21">
        <v>1856</v>
      </c>
      <c r="C8" s="21"/>
      <c r="D8" s="21">
        <v>896213</v>
      </c>
      <c r="E8" s="21"/>
      <c r="F8" s="21">
        <v>67326</v>
      </c>
      <c r="G8" s="21">
        <v>19200</v>
      </c>
      <c r="H8" s="21"/>
      <c r="I8" s="21">
        <v>7392</v>
      </c>
      <c r="J8" s="21">
        <v>39813</v>
      </c>
      <c r="K8" s="21"/>
      <c r="L8" s="21">
        <v>54476.05</v>
      </c>
      <c r="M8" s="21">
        <v>32818</v>
      </c>
      <c r="N8" s="21">
        <v>18540</v>
      </c>
      <c r="O8" s="21">
        <v>15176</v>
      </c>
      <c r="P8" s="21"/>
      <c r="Q8" s="21"/>
      <c r="R8" s="21">
        <v>2158</v>
      </c>
      <c r="S8" s="21"/>
      <c r="T8" s="21">
        <v>19033</v>
      </c>
      <c r="U8" s="21">
        <v>10172</v>
      </c>
      <c r="V8" s="21"/>
      <c r="W8" s="21"/>
      <c r="X8" s="38">
        <v>219785</v>
      </c>
      <c r="Y8" s="21">
        <v>369</v>
      </c>
      <c r="Z8" s="21">
        <v>20320</v>
      </c>
      <c r="AA8" s="21"/>
      <c r="AB8" s="21">
        <v>10631</v>
      </c>
      <c r="AC8" s="21">
        <v>74287</v>
      </c>
      <c r="AD8" s="21">
        <v>103745</v>
      </c>
      <c r="AE8" s="28">
        <v>17003</v>
      </c>
      <c r="AF8" s="21"/>
      <c r="AG8" s="21">
        <v>89153</v>
      </c>
      <c r="AH8" s="143">
        <v>45158</v>
      </c>
      <c r="AI8" s="21"/>
      <c r="AJ8" s="21">
        <f t="shared" si="0"/>
        <v>1764624.05</v>
      </c>
    </row>
    <row r="9" spans="1:36" x14ac:dyDescent="0.25">
      <c r="A9" s="25" t="s">
        <v>216</v>
      </c>
      <c r="B9" s="21"/>
      <c r="C9" s="21"/>
      <c r="D9" s="21">
        <v>296325</v>
      </c>
      <c r="E9" s="21"/>
      <c r="F9" s="21">
        <v>2303351</v>
      </c>
      <c r="G9" s="21"/>
      <c r="H9" s="21">
        <v>321633</v>
      </c>
      <c r="I9" s="21"/>
      <c r="J9" s="21"/>
      <c r="K9" s="21"/>
      <c r="L9" s="21">
        <v>291570.75</v>
      </c>
      <c r="M9" s="21"/>
      <c r="N9" s="21"/>
      <c r="O9" s="21">
        <v>1153600</v>
      </c>
      <c r="P9" s="21">
        <v>412612</v>
      </c>
      <c r="Q9" s="21">
        <v>10439</v>
      </c>
      <c r="R9" s="21"/>
      <c r="S9" s="21"/>
      <c r="T9" s="21"/>
      <c r="U9" s="21"/>
      <c r="V9" s="21">
        <v>829282.05700000003</v>
      </c>
      <c r="W9" s="21">
        <v>1060880</v>
      </c>
      <c r="X9" s="38">
        <v>667388</v>
      </c>
      <c r="Y9" s="21"/>
      <c r="Z9" s="21"/>
      <c r="AA9" s="21"/>
      <c r="AB9" s="21"/>
      <c r="AC9" s="21"/>
      <c r="AD9" s="21"/>
      <c r="AE9" s="28">
        <v>148746</v>
      </c>
      <c r="AF9" s="21">
        <v>14826</v>
      </c>
      <c r="AG9" s="21">
        <v>787688</v>
      </c>
      <c r="AH9" s="143">
        <v>373338</v>
      </c>
      <c r="AI9" s="21"/>
      <c r="AJ9" s="21">
        <f t="shared" si="0"/>
        <v>8671678.807</v>
      </c>
    </row>
    <row r="10" spans="1:36" x14ac:dyDescent="0.25">
      <c r="A10" s="25" t="s">
        <v>119</v>
      </c>
      <c r="B10" s="21">
        <v>2049</v>
      </c>
      <c r="C10" s="21">
        <v>6353</v>
      </c>
      <c r="D10" s="21">
        <v>81288</v>
      </c>
      <c r="E10" s="21">
        <v>21207</v>
      </c>
      <c r="F10" s="21">
        <v>169369</v>
      </c>
      <c r="G10" s="21">
        <v>4333</v>
      </c>
      <c r="H10" s="21">
        <v>4753</v>
      </c>
      <c r="I10" s="21">
        <v>4075</v>
      </c>
      <c r="J10" s="21">
        <v>9288</v>
      </c>
      <c r="K10" s="21">
        <v>1427</v>
      </c>
      <c r="L10" s="21">
        <v>35726.29</v>
      </c>
      <c r="M10" s="21">
        <v>5679</v>
      </c>
      <c r="N10" s="21">
        <v>4283</v>
      </c>
      <c r="O10" s="21">
        <v>182338</v>
      </c>
      <c r="P10" s="21">
        <v>369322</v>
      </c>
      <c r="Q10" s="21">
        <v>119746</v>
      </c>
      <c r="R10" s="21">
        <v>56</v>
      </c>
      <c r="S10" s="21">
        <v>1078</v>
      </c>
      <c r="T10" s="21">
        <v>745</v>
      </c>
      <c r="U10" s="21">
        <v>3555</v>
      </c>
      <c r="V10" s="21">
        <v>113744.34776077193</v>
      </c>
      <c r="W10" s="21">
        <v>277963</v>
      </c>
      <c r="X10" s="38">
        <v>103631</v>
      </c>
      <c r="Y10" s="21">
        <v>241</v>
      </c>
      <c r="Z10" s="21">
        <v>16365</v>
      </c>
      <c r="AA10" s="21">
        <v>446</v>
      </c>
      <c r="AB10" s="21">
        <v>658</v>
      </c>
      <c r="AC10" s="21">
        <v>10722</v>
      </c>
      <c r="AD10" s="21">
        <v>12136</v>
      </c>
      <c r="AE10" s="21">
        <v>38070</v>
      </c>
      <c r="AF10" s="21">
        <v>150767</v>
      </c>
      <c r="AG10" s="21">
        <v>21016</v>
      </c>
      <c r="AH10" s="143">
        <v>70032</v>
      </c>
      <c r="AI10" s="21">
        <v>20089</v>
      </c>
      <c r="AJ10" s="21">
        <f t="shared" si="0"/>
        <v>1862550.6377607719</v>
      </c>
    </row>
    <row r="11" spans="1:36" x14ac:dyDescent="0.25">
      <c r="A11" s="25" t="s">
        <v>179</v>
      </c>
      <c r="B11" s="21">
        <v>9521</v>
      </c>
      <c r="C11" s="21">
        <v>79752</v>
      </c>
      <c r="D11" s="21">
        <v>484840</v>
      </c>
      <c r="E11" s="21">
        <v>95276</v>
      </c>
      <c r="F11" s="21">
        <v>385203</v>
      </c>
      <c r="G11" s="21">
        <v>118772</v>
      </c>
      <c r="H11" s="21">
        <f>147373+61883</f>
        <v>209256</v>
      </c>
      <c r="I11" s="21">
        <v>19346</v>
      </c>
      <c r="J11" s="21">
        <v>157861</v>
      </c>
      <c r="K11" s="21">
        <v>7610</v>
      </c>
      <c r="L11" s="21">
        <v>39494.959999999999</v>
      </c>
      <c r="M11" s="21">
        <v>43258</v>
      </c>
      <c r="N11" s="21">
        <v>73604</v>
      </c>
      <c r="O11" s="21">
        <v>209103</v>
      </c>
      <c r="P11" s="21">
        <v>176716</v>
      </c>
      <c r="Q11" s="21">
        <v>132198</v>
      </c>
      <c r="R11" s="21">
        <v>15659</v>
      </c>
      <c r="S11" s="21">
        <v>32165</v>
      </c>
      <c r="T11" s="21">
        <v>37874</v>
      </c>
      <c r="U11" s="21">
        <f>32139+38909</f>
        <v>71048</v>
      </c>
      <c r="V11" s="21">
        <v>168191.45031842357</v>
      </c>
      <c r="W11" s="21">
        <v>985308</v>
      </c>
      <c r="X11" s="38">
        <v>460125</v>
      </c>
      <c r="Y11" s="21">
        <v>8502</v>
      </c>
      <c r="Z11" s="21">
        <v>98642</v>
      </c>
      <c r="AA11" s="21">
        <v>13560</v>
      </c>
      <c r="AB11" s="21">
        <v>156656</v>
      </c>
      <c r="AC11" s="21">
        <f>55445+37021</f>
        <v>92466</v>
      </c>
      <c r="AD11" s="21">
        <v>349094</v>
      </c>
      <c r="AE11" s="21">
        <v>32296</v>
      </c>
      <c r="AF11" s="21">
        <v>191730</v>
      </c>
      <c r="AG11" s="21">
        <v>298537</v>
      </c>
      <c r="AH11" s="143">
        <v>257343</v>
      </c>
      <c r="AI11" s="21">
        <v>321282</v>
      </c>
      <c r="AJ11" s="21">
        <f t="shared" si="0"/>
        <v>5832289.4103184231</v>
      </c>
    </row>
    <row r="12" spans="1:36" x14ac:dyDescent="0.25">
      <c r="A12" s="25" t="s">
        <v>180</v>
      </c>
      <c r="B12" s="21"/>
      <c r="C12" s="21">
        <v>9682</v>
      </c>
      <c r="D12" s="21">
        <v>15342</v>
      </c>
      <c r="E12" s="21">
        <v>16217</v>
      </c>
      <c r="F12" s="21">
        <v>26856</v>
      </c>
      <c r="G12" s="21"/>
      <c r="H12" s="21">
        <v>19084</v>
      </c>
      <c r="I12" s="21"/>
      <c r="J12" s="21">
        <v>1845</v>
      </c>
      <c r="K12" s="21"/>
      <c r="L12" s="21">
        <v>3557.84</v>
      </c>
      <c r="M12" s="21">
        <v>2559</v>
      </c>
      <c r="N12" s="21"/>
      <c r="O12" s="21">
        <v>117439</v>
      </c>
      <c r="P12" s="21">
        <v>108236</v>
      </c>
      <c r="Q12" s="21">
        <v>9333</v>
      </c>
      <c r="R12" s="21">
        <v>27381</v>
      </c>
      <c r="S12" s="21">
        <v>3941</v>
      </c>
      <c r="T12" s="21">
        <v>6071</v>
      </c>
      <c r="U12" s="21"/>
      <c r="V12" s="21">
        <v>535384.86104161362</v>
      </c>
      <c r="W12" s="21">
        <v>1094168</v>
      </c>
      <c r="X12" s="38">
        <v>553516</v>
      </c>
      <c r="Y12" s="21">
        <v>601</v>
      </c>
      <c r="Z12" s="21">
        <v>11881</v>
      </c>
      <c r="AA12" s="21"/>
      <c r="AB12" s="21">
        <v>113</v>
      </c>
      <c r="AC12" s="21">
        <v>3240</v>
      </c>
      <c r="AD12" s="21">
        <v>1079</v>
      </c>
      <c r="AE12" s="21">
        <v>375</v>
      </c>
      <c r="AF12" s="21">
        <v>14498</v>
      </c>
      <c r="AG12" s="21">
        <v>43875</v>
      </c>
      <c r="AH12" s="143">
        <v>473102</v>
      </c>
      <c r="AI12" s="21">
        <v>7694</v>
      </c>
      <c r="AJ12" s="21">
        <f t="shared" si="0"/>
        <v>3107070.7010416137</v>
      </c>
    </row>
    <row r="13" spans="1:36" x14ac:dyDescent="0.25">
      <c r="A13" s="25" t="s">
        <v>120</v>
      </c>
      <c r="B13" s="21">
        <v>1016</v>
      </c>
      <c r="C13" s="21">
        <v>26264</v>
      </c>
      <c r="D13" s="21">
        <v>10080</v>
      </c>
      <c r="E13" s="21">
        <v>14619</v>
      </c>
      <c r="F13" s="21">
        <v>83117</v>
      </c>
      <c r="G13" s="21">
        <v>7824</v>
      </c>
      <c r="H13" s="21">
        <v>5369</v>
      </c>
      <c r="I13" s="21">
        <v>3905</v>
      </c>
      <c r="J13" s="21">
        <v>10154</v>
      </c>
      <c r="K13" s="21">
        <v>1116</v>
      </c>
      <c r="L13" s="21">
        <v>17287.61</v>
      </c>
      <c r="M13" s="21">
        <v>24588</v>
      </c>
      <c r="N13" s="21">
        <v>17539</v>
      </c>
      <c r="O13" s="21">
        <v>45210</v>
      </c>
      <c r="P13" s="21">
        <v>380030</v>
      </c>
      <c r="Q13" s="21">
        <v>28521</v>
      </c>
      <c r="R13" s="21">
        <v>1038</v>
      </c>
      <c r="S13" s="21">
        <v>9833</v>
      </c>
      <c r="T13" s="21">
        <v>1027</v>
      </c>
      <c r="U13" s="21">
        <v>16693</v>
      </c>
      <c r="V13" s="21">
        <v>15094.318097619631</v>
      </c>
      <c r="W13" s="21">
        <v>18974</v>
      </c>
      <c r="X13" s="38">
        <v>14929</v>
      </c>
      <c r="Y13" s="21">
        <v>432</v>
      </c>
      <c r="Z13" s="21">
        <v>36116</v>
      </c>
      <c r="AA13" s="21">
        <v>3293</v>
      </c>
      <c r="AB13" s="21">
        <v>20346</v>
      </c>
      <c r="AC13" s="21">
        <v>18344</v>
      </c>
      <c r="AD13" s="21">
        <v>41134</v>
      </c>
      <c r="AE13" s="21">
        <v>27197</v>
      </c>
      <c r="AF13" s="21">
        <v>80530</v>
      </c>
      <c r="AG13" s="21">
        <v>52685</v>
      </c>
      <c r="AH13" s="143">
        <v>16580</v>
      </c>
      <c r="AI13" s="21">
        <v>6154</v>
      </c>
      <c r="AJ13" s="21">
        <f t="shared" si="0"/>
        <v>1057038.9280976197</v>
      </c>
    </row>
    <row r="14" spans="1:36" x14ac:dyDescent="0.25">
      <c r="A14" s="25" t="s">
        <v>121</v>
      </c>
      <c r="B14" s="21"/>
      <c r="C14" s="21"/>
      <c r="D14" s="21">
        <v>6355</v>
      </c>
      <c r="E14" s="21"/>
      <c r="F14" s="21"/>
      <c r="G14" s="21"/>
      <c r="H14" s="21">
        <v>9375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>
        <v>4272</v>
      </c>
      <c r="U14" s="21"/>
      <c r="V14" s="21">
        <v>90591.090003958729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143">
        <v>83503</v>
      </c>
      <c r="AI14" s="21"/>
      <c r="AJ14" s="21">
        <f t="shared" si="0"/>
        <v>194096.09000395873</v>
      </c>
    </row>
    <row r="15" spans="1:36" x14ac:dyDescent="0.25">
      <c r="A15" s="25" t="s">
        <v>220</v>
      </c>
      <c r="B15" s="21"/>
      <c r="C15" s="21">
        <v>59023</v>
      </c>
      <c r="D15" s="21"/>
      <c r="E15" s="21"/>
      <c r="F15" s="21"/>
      <c r="G15" s="21"/>
      <c r="H15" s="21">
        <v>43388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>
        <v>14028</v>
      </c>
      <c r="T15" s="21"/>
      <c r="U15" s="21"/>
      <c r="V15" s="21"/>
      <c r="W15" s="21">
        <v>174328</v>
      </c>
      <c r="X15" s="38">
        <v>83424</v>
      </c>
      <c r="Y15" s="21"/>
      <c r="Z15" s="21">
        <v>32</v>
      </c>
      <c r="AA15" s="21"/>
      <c r="AB15" s="21"/>
      <c r="AC15" s="21"/>
      <c r="AD15" s="21"/>
      <c r="AE15" s="21"/>
      <c r="AF15" s="21">
        <v>129</v>
      </c>
      <c r="AG15" s="21">
        <v>61297</v>
      </c>
      <c r="AH15" s="143">
        <v>71559</v>
      </c>
      <c r="AI15" s="21"/>
      <c r="AJ15" s="21">
        <f t="shared" si="0"/>
        <v>507208</v>
      </c>
    </row>
    <row r="16" spans="1:36" s="15" customFormat="1" x14ac:dyDescent="0.25">
      <c r="A16" s="23" t="s">
        <v>61</v>
      </c>
      <c r="B16" s="24">
        <v>16673</v>
      </c>
      <c r="C16" s="24">
        <v>557567</v>
      </c>
      <c r="D16" s="24">
        <v>1790443</v>
      </c>
      <c r="E16" s="24">
        <v>304322</v>
      </c>
      <c r="F16" s="24">
        <v>3236258</v>
      </c>
      <c r="G16" s="24">
        <v>194457</v>
      </c>
      <c r="H16" s="24">
        <v>670890</v>
      </c>
      <c r="I16" s="24">
        <v>53159</v>
      </c>
      <c r="J16" s="24">
        <v>519469</v>
      </c>
      <c r="K16" s="24">
        <v>96708</v>
      </c>
      <c r="L16" s="24">
        <v>1207332.3500000001</v>
      </c>
      <c r="M16" s="24">
        <v>158321</v>
      </c>
      <c r="N16" s="24">
        <v>134078</v>
      </c>
      <c r="O16" s="24">
        <v>2045571</v>
      </c>
      <c r="P16" s="24">
        <v>4480614</v>
      </c>
      <c r="Q16" s="24">
        <v>483244</v>
      </c>
      <c r="R16" s="24">
        <v>64836</v>
      </c>
      <c r="S16" s="24">
        <v>202584</v>
      </c>
      <c r="T16" s="24">
        <v>266481</v>
      </c>
      <c r="U16" s="24">
        <v>301619</v>
      </c>
      <c r="V16" s="24">
        <v>2882003</v>
      </c>
      <c r="W16" s="24">
        <v>4742798</v>
      </c>
      <c r="X16" s="24">
        <v>2355737</v>
      </c>
      <c r="Y16" s="24">
        <v>19686</v>
      </c>
      <c r="Z16" s="24">
        <v>327103</v>
      </c>
      <c r="AA16" s="24">
        <v>440604</v>
      </c>
      <c r="AB16" s="24">
        <v>540887</v>
      </c>
      <c r="AC16" s="24">
        <v>291262</v>
      </c>
      <c r="AD16" s="24">
        <v>801896</v>
      </c>
      <c r="AE16" s="24">
        <v>502382</v>
      </c>
      <c r="AF16" s="24">
        <v>845842</v>
      </c>
      <c r="AG16" s="24">
        <v>1858635</v>
      </c>
      <c r="AH16" s="145">
        <v>1610865</v>
      </c>
      <c r="AI16" s="24">
        <v>382263</v>
      </c>
      <c r="AJ16" s="24">
        <f t="shared" si="0"/>
        <v>34386589.350000001</v>
      </c>
    </row>
    <row r="17" spans="1:36" x14ac:dyDescent="0.25">
      <c r="A17" s="25" t="s">
        <v>122</v>
      </c>
      <c r="B17" s="21"/>
      <c r="C17" s="21"/>
      <c r="D17" s="21"/>
      <c r="E17" s="21">
        <v>123298</v>
      </c>
      <c r="F17" s="21">
        <v>207651</v>
      </c>
      <c r="G17" s="21">
        <v>5289</v>
      </c>
      <c r="H17" s="21">
        <v>16062</v>
      </c>
      <c r="I17" s="21">
        <v>33304</v>
      </c>
      <c r="J17" s="21">
        <v>18534</v>
      </c>
      <c r="K17" s="21">
        <v>15083</v>
      </c>
      <c r="L17" s="21">
        <v>1501139.87</v>
      </c>
      <c r="M17" s="21">
        <v>10601</v>
      </c>
      <c r="N17" s="21">
        <v>12485</v>
      </c>
      <c r="O17" s="21">
        <v>89479</v>
      </c>
      <c r="P17" s="21">
        <v>171704</v>
      </c>
      <c r="Q17" s="21">
        <v>101846</v>
      </c>
      <c r="R17" s="21">
        <v>6448</v>
      </c>
      <c r="S17" s="21">
        <v>58229</v>
      </c>
      <c r="T17" s="21">
        <v>3379</v>
      </c>
      <c r="U17" s="21">
        <v>19399</v>
      </c>
      <c r="V17" s="21">
        <v>860201</v>
      </c>
      <c r="W17" s="21">
        <v>446170</v>
      </c>
      <c r="X17" s="38">
        <v>3545672</v>
      </c>
      <c r="Y17" s="21"/>
      <c r="Z17" s="21">
        <v>7814</v>
      </c>
      <c r="AA17" s="21">
        <v>23965</v>
      </c>
      <c r="AB17" s="21">
        <v>23181</v>
      </c>
      <c r="AC17" s="21">
        <v>17638</v>
      </c>
      <c r="AD17" s="21">
        <v>107856</v>
      </c>
      <c r="AE17" s="21"/>
      <c r="AF17" s="21">
        <v>134788</v>
      </c>
      <c r="AG17" s="21">
        <v>72645</v>
      </c>
      <c r="AH17" s="143">
        <v>866269</v>
      </c>
      <c r="AI17" s="21">
        <v>16326</v>
      </c>
      <c r="AJ17" s="21">
        <f t="shared" si="0"/>
        <v>8516455.870000001</v>
      </c>
    </row>
    <row r="18" spans="1:36" ht="30" x14ac:dyDescent="0.25">
      <c r="A18" s="25" t="s">
        <v>209</v>
      </c>
      <c r="B18" s="21"/>
      <c r="C18" s="21">
        <v>59866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I18" s="21"/>
      <c r="AJ18" s="21">
        <f t="shared" si="0"/>
        <v>59866</v>
      </c>
    </row>
    <row r="19" spans="1:36" s="15" customFormat="1" x14ac:dyDescent="0.25">
      <c r="A19" s="23" t="s">
        <v>123</v>
      </c>
      <c r="B19" s="24">
        <v>16673</v>
      </c>
      <c r="C19" s="24">
        <v>617432</v>
      </c>
      <c r="D19" s="24">
        <v>2795603</v>
      </c>
      <c r="E19" s="24">
        <v>427620</v>
      </c>
      <c r="F19" s="24">
        <v>3443909</v>
      </c>
      <c r="G19" s="24">
        <v>199746</v>
      </c>
      <c r="H19" s="24">
        <v>686952</v>
      </c>
      <c r="I19" s="24">
        <v>86464</v>
      </c>
      <c r="J19" s="24">
        <v>538003</v>
      </c>
      <c r="K19" s="24">
        <v>111791</v>
      </c>
      <c r="L19" s="24">
        <v>2708472.22</v>
      </c>
      <c r="M19" s="24">
        <v>168922</v>
      </c>
      <c r="N19" s="24">
        <v>146563</v>
      </c>
      <c r="O19" s="24">
        <v>2135050</v>
      </c>
      <c r="P19" s="24">
        <v>4652318</v>
      </c>
      <c r="Q19" s="24">
        <v>585090</v>
      </c>
      <c r="R19" s="24">
        <v>71284</v>
      </c>
      <c r="S19" s="24">
        <v>260813</v>
      </c>
      <c r="T19" s="24">
        <v>269860</v>
      </c>
      <c r="U19" s="24">
        <v>321019</v>
      </c>
      <c r="V19" s="24">
        <v>3742204</v>
      </c>
      <c r="W19" s="24">
        <v>5188969</v>
      </c>
      <c r="X19" s="24">
        <v>5901409</v>
      </c>
      <c r="Y19" s="24">
        <v>19686</v>
      </c>
      <c r="Z19" s="24">
        <v>334917</v>
      </c>
      <c r="AA19" s="24">
        <v>464569</v>
      </c>
      <c r="AB19" s="24">
        <v>564068</v>
      </c>
      <c r="AC19" s="24">
        <v>308900</v>
      </c>
      <c r="AD19" s="24">
        <v>909752</v>
      </c>
      <c r="AE19" s="24">
        <v>502382</v>
      </c>
      <c r="AF19" s="24">
        <v>980630</v>
      </c>
      <c r="AG19" s="24">
        <v>1931280</v>
      </c>
      <c r="AH19" s="145">
        <v>2477134</v>
      </c>
      <c r="AI19" s="24">
        <v>398589</v>
      </c>
      <c r="AJ19" s="24">
        <f t="shared" si="0"/>
        <v>43968073.219999999</v>
      </c>
    </row>
    <row r="20" spans="1:36" x14ac:dyDescent="0.25">
      <c r="O20" s="11"/>
    </row>
    <row r="21" spans="1:36" x14ac:dyDescent="0.25">
      <c r="O21" s="11"/>
    </row>
    <row r="22" spans="1:36" x14ac:dyDescent="0.25">
      <c r="O22" s="16"/>
    </row>
    <row r="23" spans="1:36" x14ac:dyDescent="0.25">
      <c r="O23" s="11"/>
    </row>
    <row r="24" spans="1:36" x14ac:dyDescent="0.25">
      <c r="O24" s="11"/>
    </row>
    <row r="25" spans="1:36" x14ac:dyDescent="0.25">
      <c r="O25" s="11"/>
    </row>
    <row r="26" spans="1:36" x14ac:dyDescent="0.25">
      <c r="O26" s="11"/>
    </row>
    <row r="27" spans="1:36" x14ac:dyDescent="0.25">
      <c r="O27" s="16"/>
    </row>
    <row r="28" spans="1:36" x14ac:dyDescent="0.25">
      <c r="O28" s="11"/>
    </row>
    <row r="29" spans="1:36" x14ac:dyDescent="0.25">
      <c r="O29" s="11"/>
    </row>
    <row r="30" spans="1:36" x14ac:dyDescent="0.25">
      <c r="O30" s="11"/>
    </row>
    <row r="31" spans="1:36" x14ac:dyDescent="0.25">
      <c r="O31" s="11"/>
    </row>
    <row r="32" spans="1:36" x14ac:dyDescent="0.25">
      <c r="O32" s="11"/>
    </row>
    <row r="33" spans="15:15" x14ac:dyDescent="0.25">
      <c r="O33" s="16"/>
    </row>
    <row r="34" spans="15:15" x14ac:dyDescent="0.25">
      <c r="O34" s="11"/>
    </row>
    <row r="35" spans="15:15" x14ac:dyDescent="0.25">
      <c r="O35" s="16"/>
    </row>
    <row r="36" spans="15:15" x14ac:dyDescent="0.25">
      <c r="O36" s="11"/>
    </row>
    <row r="37" spans="15:15" x14ac:dyDescent="0.25">
      <c r="O37" s="16"/>
    </row>
    <row r="38" spans="15:15" x14ac:dyDescent="0.25">
      <c r="O38" s="11"/>
    </row>
    <row r="39" spans="15:15" x14ac:dyDescent="0.25">
      <c r="O39" s="11"/>
    </row>
    <row r="40" spans="15:15" x14ac:dyDescent="0.25">
      <c r="O40" s="11"/>
    </row>
    <row r="41" spans="15:15" x14ac:dyDescent="0.25">
      <c r="O41" s="11"/>
    </row>
    <row r="42" spans="15:15" x14ac:dyDescent="0.25">
      <c r="O42" s="16"/>
    </row>
    <row r="43" spans="15:15" x14ac:dyDescent="0.25">
      <c r="O43" s="16"/>
    </row>
    <row r="44" spans="15:15" x14ac:dyDescent="0.25">
      <c r="O44" s="11"/>
    </row>
    <row r="45" spans="15:15" x14ac:dyDescent="0.25">
      <c r="O45" s="20"/>
    </row>
    <row r="46" spans="15:15" x14ac:dyDescent="0.25">
      <c r="O46" s="11"/>
    </row>
    <row r="47" spans="15:15" x14ac:dyDescent="0.25">
      <c r="O47" s="11"/>
    </row>
    <row r="48" spans="15:15" x14ac:dyDescent="0.25">
      <c r="O48" s="11"/>
    </row>
    <row r="49" spans="15:15" x14ac:dyDescent="0.25">
      <c r="O49" s="11"/>
    </row>
    <row r="50" spans="15:15" x14ac:dyDescent="0.25">
      <c r="O50" s="11"/>
    </row>
    <row r="51" spans="15:15" x14ac:dyDescent="0.25">
      <c r="O51" s="16"/>
    </row>
    <row r="52" spans="15:15" x14ac:dyDescent="0.25">
      <c r="O52" s="16"/>
    </row>
    <row r="53" spans="15:15" x14ac:dyDescent="0.25">
      <c r="O53" s="11"/>
    </row>
    <row r="54" spans="15:15" x14ac:dyDescent="0.25">
      <c r="O54" s="11"/>
    </row>
    <row r="55" spans="15:15" x14ac:dyDescent="0.25">
      <c r="O55" s="16"/>
    </row>
    <row r="56" spans="15:15" x14ac:dyDescent="0.25">
      <c r="O56" s="16"/>
    </row>
    <row r="57" spans="15:15" x14ac:dyDescent="0.25">
      <c r="O57" s="11"/>
    </row>
    <row r="58" spans="15:15" x14ac:dyDescent="0.25">
      <c r="O58" s="11"/>
    </row>
    <row r="59" spans="15:15" x14ac:dyDescent="0.25">
      <c r="O59" s="16"/>
    </row>
    <row r="60" spans="15:15" x14ac:dyDescent="0.25">
      <c r="O60" s="11"/>
    </row>
    <row r="61" spans="15:15" x14ac:dyDescent="0.25">
      <c r="O61" s="16"/>
    </row>
    <row r="62" spans="15:15" x14ac:dyDescent="0.25">
      <c r="O62" s="11"/>
    </row>
    <row r="63" spans="15:15" x14ac:dyDescent="0.25">
      <c r="O63" s="11"/>
    </row>
    <row r="64" spans="15:15" x14ac:dyDescent="0.25">
      <c r="O64" s="11"/>
    </row>
    <row r="65" spans="15:15" x14ac:dyDescent="0.25">
      <c r="O65" s="16"/>
    </row>
    <row r="66" spans="15:15" x14ac:dyDescent="0.25">
      <c r="O66" s="11"/>
    </row>
    <row r="67" spans="15:15" x14ac:dyDescent="0.25">
      <c r="O67" s="11"/>
    </row>
    <row r="68" spans="15:15" x14ac:dyDescent="0.25">
      <c r="O68" s="11"/>
    </row>
    <row r="69" spans="15:15" x14ac:dyDescent="0.25">
      <c r="O69" s="11"/>
    </row>
    <row r="70" spans="15:15" x14ac:dyDescent="0.25">
      <c r="O70" s="16"/>
    </row>
    <row r="71" spans="15:15" x14ac:dyDescent="0.25">
      <c r="O71" s="11"/>
    </row>
    <row r="72" spans="15:15" x14ac:dyDescent="0.25">
      <c r="O72" s="11"/>
    </row>
    <row r="73" spans="15:15" x14ac:dyDescent="0.25">
      <c r="O73" s="11"/>
    </row>
    <row r="74" spans="15:15" x14ac:dyDescent="0.25">
      <c r="O74" s="11"/>
    </row>
    <row r="75" spans="15:15" x14ac:dyDescent="0.25">
      <c r="O75" s="11"/>
    </row>
    <row r="76" spans="15:15" x14ac:dyDescent="0.25">
      <c r="O76" s="16"/>
    </row>
    <row r="77" spans="15:15" x14ac:dyDescent="0.25">
      <c r="O77" s="11"/>
    </row>
    <row r="78" spans="15:15" x14ac:dyDescent="0.25">
      <c r="O78" s="16"/>
    </row>
    <row r="79" spans="15:15" x14ac:dyDescent="0.25">
      <c r="O79" s="11"/>
    </row>
    <row r="80" spans="15:15" x14ac:dyDescent="0.25">
      <c r="O80" s="16"/>
    </row>
    <row r="81" spans="15:15" x14ac:dyDescent="0.25">
      <c r="O81" s="11"/>
    </row>
    <row r="82" spans="15:15" x14ac:dyDescent="0.25">
      <c r="O82" s="11"/>
    </row>
    <row r="83" spans="15:15" x14ac:dyDescent="0.25">
      <c r="O83" s="11"/>
    </row>
    <row r="84" spans="15:15" x14ac:dyDescent="0.25">
      <c r="O84" s="11"/>
    </row>
    <row r="85" spans="15:15" x14ac:dyDescent="0.25">
      <c r="O85" s="16"/>
    </row>
    <row r="86" spans="15:15" x14ac:dyDescent="0.25">
      <c r="O86" s="16"/>
    </row>
    <row r="88" spans="15:15" x14ac:dyDescent="0.25">
      <c r="O88" s="20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"/>
  <sheetViews>
    <sheetView workbookViewId="0">
      <pane xSplit="1" ySplit="3" topLeftCell="B4" activePane="bottomRight" state="frozen"/>
      <selection activeCell="AH19" sqref="AH19"/>
      <selection pane="topRight" activeCell="AH19" sqref="AH19"/>
      <selection pane="bottomLeft" activeCell="AH19" sqref="AH19"/>
      <selection pane="bottomRight" activeCell="B2" sqref="B2"/>
    </sheetView>
  </sheetViews>
  <sheetFormatPr defaultRowHeight="15" x14ac:dyDescent="0.25"/>
  <cols>
    <col min="1" max="1" width="40.7109375" style="6" customWidth="1"/>
    <col min="2" max="36" width="16" style="4" customWidth="1"/>
    <col min="37" max="16384" width="9.140625" style="4"/>
  </cols>
  <sheetData>
    <row r="1" spans="1:36" s="14" customFormat="1" ht="37.5" x14ac:dyDescent="0.3">
      <c r="A1" s="27" t="s">
        <v>327</v>
      </c>
    </row>
    <row r="2" spans="1:36" x14ac:dyDescent="0.25">
      <c r="A2" s="6" t="s">
        <v>43</v>
      </c>
    </row>
    <row r="3" spans="1:36" s="22" customFormat="1" x14ac:dyDescent="0.25">
      <c r="A3" s="26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03" t="s">
        <v>10</v>
      </c>
      <c r="L3" s="103" t="s">
        <v>11</v>
      </c>
      <c r="M3" s="103" t="s">
        <v>12</v>
      </c>
      <c r="N3" s="103" t="s">
        <v>13</v>
      </c>
      <c r="O3" s="103" t="s">
        <v>14</v>
      </c>
      <c r="P3" s="103" t="s">
        <v>15</v>
      </c>
      <c r="Q3" s="103" t="s">
        <v>16</v>
      </c>
      <c r="R3" s="103" t="s">
        <v>17</v>
      </c>
      <c r="S3" s="103" t="s">
        <v>18</v>
      </c>
      <c r="T3" s="103" t="s">
        <v>19</v>
      </c>
      <c r="U3" s="103" t="s">
        <v>20</v>
      </c>
      <c r="V3" s="103" t="s">
        <v>21</v>
      </c>
      <c r="W3" s="103" t="s">
        <v>147</v>
      </c>
      <c r="X3" s="103" t="s">
        <v>148</v>
      </c>
      <c r="Y3" s="103" t="s">
        <v>22</v>
      </c>
      <c r="Z3" s="103" t="s">
        <v>23</v>
      </c>
      <c r="AA3" s="103" t="s">
        <v>332</v>
      </c>
      <c r="AB3" s="103" t="s">
        <v>24</v>
      </c>
      <c r="AC3" s="103" t="s">
        <v>25</v>
      </c>
      <c r="AD3" s="103" t="s">
        <v>26</v>
      </c>
      <c r="AE3" s="103" t="s">
        <v>27</v>
      </c>
      <c r="AF3" s="103" t="s">
        <v>28</v>
      </c>
      <c r="AG3" s="103" t="s">
        <v>29</v>
      </c>
      <c r="AH3" s="103" t="s">
        <v>30</v>
      </c>
      <c r="AI3" s="103" t="s">
        <v>31</v>
      </c>
      <c r="AJ3" s="103" t="s">
        <v>250</v>
      </c>
    </row>
    <row r="4" spans="1:36" x14ac:dyDescent="0.25">
      <c r="A4" s="25" t="s">
        <v>124</v>
      </c>
      <c r="B4" s="21">
        <v>110</v>
      </c>
      <c r="C4" s="21">
        <v>762</v>
      </c>
      <c r="D4" s="21">
        <v>28</v>
      </c>
      <c r="E4" s="21">
        <v>22466</v>
      </c>
      <c r="F4" s="21">
        <v>42539</v>
      </c>
      <c r="G4" s="21">
        <v>104606</v>
      </c>
      <c r="H4" s="21">
        <v>129733</v>
      </c>
      <c r="I4" s="21">
        <v>26355</v>
      </c>
      <c r="J4" s="21">
        <v>18275</v>
      </c>
      <c r="K4" s="21">
        <v>1491</v>
      </c>
      <c r="L4" s="21">
        <v>4041.79</v>
      </c>
      <c r="M4" s="21">
        <v>258386</v>
      </c>
      <c r="N4" s="21">
        <v>193602</v>
      </c>
      <c r="O4" s="21">
        <v>1125482</v>
      </c>
      <c r="P4" s="21">
        <v>430522</v>
      </c>
      <c r="Q4" s="21">
        <v>39768</v>
      </c>
      <c r="R4" s="21">
        <v>50438</v>
      </c>
      <c r="S4" s="21">
        <v>134464</v>
      </c>
      <c r="T4" s="21">
        <v>22117</v>
      </c>
      <c r="U4" s="21">
        <v>33827</v>
      </c>
      <c r="V4" s="38">
        <v>1569338</v>
      </c>
      <c r="W4" s="21">
        <v>1831483</v>
      </c>
      <c r="X4">
        <v>1244276</v>
      </c>
      <c r="Y4" s="21">
        <v>28</v>
      </c>
      <c r="Z4" s="21">
        <v>4465</v>
      </c>
      <c r="AA4" s="21">
        <v>472</v>
      </c>
      <c r="AB4" s="21">
        <v>29149</v>
      </c>
      <c r="AC4" s="21">
        <v>66450</v>
      </c>
      <c r="AD4" s="21">
        <v>144399</v>
      </c>
      <c r="AE4" s="21">
        <v>74244</v>
      </c>
      <c r="AF4" s="21">
        <v>2486003</v>
      </c>
      <c r="AG4" s="21">
        <v>279597</v>
      </c>
      <c r="AH4" s="155">
        <v>329456</v>
      </c>
      <c r="AI4" s="21">
        <v>4780</v>
      </c>
      <c r="AJ4" s="21">
        <f>SUM(B4:AI4)</f>
        <v>10703152.789999999</v>
      </c>
    </row>
    <row r="5" spans="1:36" x14ac:dyDescent="0.25">
      <c r="A5" s="25" t="s">
        <v>125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153"/>
      <c r="AI5" s="21"/>
      <c r="AJ5" s="21">
        <f t="shared" ref="AJ5:AJ16" si="0">SUM(B5:AI5)</f>
        <v>0</v>
      </c>
    </row>
    <row r="6" spans="1:36" x14ac:dyDescent="0.25">
      <c r="A6" s="25" t="s">
        <v>126</v>
      </c>
      <c r="B6" s="21"/>
      <c r="C6" s="21">
        <v>128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153"/>
      <c r="AI6" s="21"/>
      <c r="AJ6" s="21">
        <f t="shared" si="0"/>
        <v>128</v>
      </c>
    </row>
    <row r="7" spans="1:36" ht="15" customHeight="1" x14ac:dyDescent="0.25">
      <c r="A7" s="25" t="s">
        <v>127</v>
      </c>
      <c r="B7" s="21"/>
      <c r="C7" s="21">
        <v>569</v>
      </c>
      <c r="D7" s="21">
        <v>23510850</v>
      </c>
      <c r="E7" s="21">
        <v>1475360</v>
      </c>
      <c r="F7" s="21">
        <v>640463</v>
      </c>
      <c r="G7" s="21">
        <v>773555</v>
      </c>
      <c r="H7" s="21"/>
      <c r="I7" s="21">
        <v>153500</v>
      </c>
      <c r="J7" s="21">
        <v>1533</v>
      </c>
      <c r="K7" s="21"/>
      <c r="L7" s="21">
        <f>2890000+3490000</f>
        <v>6380000</v>
      </c>
      <c r="M7" s="21"/>
      <c r="N7" s="21"/>
      <c r="O7" s="21">
        <v>207600</v>
      </c>
      <c r="P7" s="21">
        <v>1941828</v>
      </c>
      <c r="Q7" s="21"/>
      <c r="R7" s="21"/>
      <c r="S7" s="21">
        <v>94700</v>
      </c>
      <c r="T7" s="21"/>
      <c r="U7" s="21">
        <v>96500</v>
      </c>
      <c r="V7" s="38">
        <v>1289784</v>
      </c>
      <c r="W7" s="21">
        <v>23737189</v>
      </c>
      <c r="X7">
        <v>19237812</v>
      </c>
      <c r="Y7" s="21"/>
      <c r="Z7" s="21">
        <v>11281</v>
      </c>
      <c r="AA7" s="21"/>
      <c r="AB7" s="21">
        <v>8253</v>
      </c>
      <c r="AC7" s="21"/>
      <c r="AD7" s="21"/>
      <c r="AE7" s="21"/>
      <c r="AF7" s="21">
        <v>1428700</v>
      </c>
      <c r="AG7" s="21"/>
      <c r="AH7" s="153">
        <v>6501812</v>
      </c>
      <c r="AI7" s="21"/>
      <c r="AJ7" s="21">
        <f t="shared" si="0"/>
        <v>87491289</v>
      </c>
    </row>
    <row r="8" spans="1:36" x14ac:dyDescent="0.25">
      <c r="A8" s="25" t="s">
        <v>128</v>
      </c>
      <c r="B8" s="21"/>
      <c r="C8" s="21">
        <v>3200</v>
      </c>
      <c r="D8" s="21"/>
      <c r="E8" s="21">
        <v>852500</v>
      </c>
      <c r="F8" s="21"/>
      <c r="G8" s="21"/>
      <c r="H8" s="21"/>
      <c r="I8" s="21">
        <v>2500</v>
      </c>
      <c r="J8" s="21"/>
      <c r="K8" s="21"/>
      <c r="L8" s="21"/>
      <c r="M8" s="21">
        <v>1885</v>
      </c>
      <c r="N8" s="21"/>
      <c r="O8" s="21">
        <v>14227</v>
      </c>
      <c r="P8" s="21"/>
      <c r="Q8" s="21"/>
      <c r="R8" s="21"/>
      <c r="S8" s="21"/>
      <c r="T8" s="21"/>
      <c r="U8" s="21"/>
      <c r="V8" s="21"/>
      <c r="W8" s="21">
        <v>49409422</v>
      </c>
      <c r="X8" s="21"/>
      <c r="Y8" s="21"/>
      <c r="Z8" s="21"/>
      <c r="AA8" s="21"/>
      <c r="AB8" s="21">
        <v>2500</v>
      </c>
      <c r="AC8" s="21"/>
      <c r="AD8" s="21"/>
      <c r="AE8" s="21"/>
      <c r="AF8" s="21"/>
      <c r="AG8" s="21"/>
      <c r="AH8" s="153"/>
      <c r="AI8" s="21"/>
      <c r="AJ8" s="21">
        <f t="shared" si="0"/>
        <v>50286234</v>
      </c>
    </row>
    <row r="9" spans="1:36" x14ac:dyDescent="0.25">
      <c r="A9" s="25" t="s">
        <v>129</v>
      </c>
      <c r="B9" s="21">
        <v>77847</v>
      </c>
      <c r="C9" s="21">
        <v>218781</v>
      </c>
      <c r="D9" s="21">
        <v>1152678</v>
      </c>
      <c r="E9" s="21">
        <v>674646</v>
      </c>
      <c r="F9" s="21">
        <v>3070663</v>
      </c>
      <c r="G9" s="21">
        <v>271371</v>
      </c>
      <c r="H9" s="21">
        <v>502517</v>
      </c>
      <c r="I9" s="21">
        <v>109875</v>
      </c>
      <c r="J9" s="21">
        <v>65388</v>
      </c>
      <c r="K9" s="21">
        <v>47505</v>
      </c>
      <c r="L9" s="21">
        <v>135856.07999999999</v>
      </c>
      <c r="M9" s="21">
        <v>380536</v>
      </c>
      <c r="N9" s="21">
        <v>935998</v>
      </c>
      <c r="O9" s="21">
        <v>2535973</v>
      </c>
      <c r="P9" s="21">
        <v>1644116</v>
      </c>
      <c r="Q9" s="21">
        <v>689544</v>
      </c>
      <c r="R9" s="21">
        <v>75510</v>
      </c>
      <c r="S9" s="21">
        <v>189897</v>
      </c>
      <c r="T9" s="21">
        <v>1052916</v>
      </c>
      <c r="U9" s="21">
        <v>168254</v>
      </c>
      <c r="V9" s="38">
        <v>10222275</v>
      </c>
      <c r="W9" s="21">
        <v>10543796</v>
      </c>
      <c r="X9">
        <v>5646423</v>
      </c>
      <c r="Y9" s="21">
        <v>75556</v>
      </c>
      <c r="Z9" s="21">
        <v>1439811</v>
      </c>
      <c r="AA9" s="21">
        <v>113722</v>
      </c>
      <c r="AB9" s="21">
        <v>362470</v>
      </c>
      <c r="AC9" s="21">
        <v>668492</v>
      </c>
      <c r="AD9" s="21">
        <v>1686652</v>
      </c>
      <c r="AE9" s="21">
        <v>279047</v>
      </c>
      <c r="AF9" s="21">
        <v>5015537</v>
      </c>
      <c r="AG9" s="21">
        <v>2640755</v>
      </c>
      <c r="AH9" s="153">
        <v>6181859</v>
      </c>
      <c r="AI9" s="21">
        <v>595138</v>
      </c>
      <c r="AJ9" s="21">
        <f t="shared" si="0"/>
        <v>59471404.079999998</v>
      </c>
    </row>
    <row r="10" spans="1:36" x14ac:dyDescent="0.25">
      <c r="A10" s="25" t="s">
        <v>181</v>
      </c>
      <c r="B10" s="21"/>
      <c r="C10" s="21"/>
      <c r="D10" s="21"/>
      <c r="E10" s="21"/>
      <c r="F10" s="21">
        <v>803907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>
        <v>67207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206923</v>
      </c>
      <c r="AF10" s="21"/>
      <c r="AG10" s="21"/>
      <c r="AH10" s="153"/>
      <c r="AI10" s="21"/>
      <c r="AJ10" s="21">
        <f t="shared" si="0"/>
        <v>1078037</v>
      </c>
    </row>
    <row r="11" spans="1:36" x14ac:dyDescent="0.25">
      <c r="A11" s="25" t="s">
        <v>182</v>
      </c>
      <c r="B11" s="21"/>
      <c r="C11" s="21"/>
      <c r="D11" s="21"/>
      <c r="E11" s="21"/>
      <c r="F11" s="21"/>
      <c r="G11" s="21"/>
      <c r="H11" s="21">
        <v>6037</v>
      </c>
      <c r="I11" s="21"/>
      <c r="J11" s="21"/>
      <c r="K11" s="21"/>
      <c r="L11" s="21">
        <v>100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>
        <v>168540</v>
      </c>
      <c r="AA11" s="21"/>
      <c r="AB11" s="21"/>
      <c r="AC11" s="21"/>
      <c r="AD11" s="21"/>
      <c r="AE11" s="21"/>
      <c r="AF11" s="21"/>
      <c r="AG11" s="21"/>
      <c r="AH11" s="153"/>
      <c r="AI11" s="21"/>
      <c r="AJ11" s="21">
        <f t="shared" si="0"/>
        <v>174677</v>
      </c>
    </row>
    <row r="12" spans="1:36" x14ac:dyDescent="0.25">
      <c r="A12" s="25" t="s">
        <v>130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153"/>
      <c r="AI12" s="21"/>
      <c r="AJ12" s="21">
        <f t="shared" si="0"/>
        <v>0</v>
      </c>
    </row>
    <row r="13" spans="1:36" x14ac:dyDescent="0.25">
      <c r="A13" s="25" t="s">
        <v>131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153"/>
      <c r="AI13" s="21"/>
      <c r="AJ13" s="21">
        <f t="shared" si="0"/>
        <v>0</v>
      </c>
    </row>
    <row r="14" spans="1:36" x14ac:dyDescent="0.25">
      <c r="A14" s="25" t="s">
        <v>132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>
        <v>10526886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153">
        <v>4604438</v>
      </c>
      <c r="AI14" s="21"/>
      <c r="AJ14" s="21">
        <f t="shared" si="0"/>
        <v>15131324</v>
      </c>
    </row>
    <row r="15" spans="1:36" x14ac:dyDescent="0.25">
      <c r="A15" s="25" t="s">
        <v>171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8"/>
      <c r="M15" s="21"/>
      <c r="N15" s="21"/>
      <c r="O15" s="21"/>
      <c r="P15" s="21"/>
      <c r="Q15" s="21"/>
      <c r="R15" s="21"/>
      <c r="S15" s="21"/>
      <c r="T15" s="21"/>
      <c r="U15" s="21"/>
      <c r="V15" s="21">
        <v>1880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153"/>
      <c r="AI15" s="21"/>
      <c r="AJ15" s="21">
        <f t="shared" si="0"/>
        <v>1880</v>
      </c>
    </row>
    <row r="16" spans="1:36" s="15" customFormat="1" x14ac:dyDescent="0.25">
      <c r="A16" s="23" t="s">
        <v>61</v>
      </c>
      <c r="B16" s="24">
        <v>77957</v>
      </c>
      <c r="C16" s="24">
        <v>223440</v>
      </c>
      <c r="D16" s="24">
        <v>24663556</v>
      </c>
      <c r="E16" s="24">
        <v>3024972</v>
      </c>
      <c r="F16" s="24">
        <v>4557572</v>
      </c>
      <c r="G16" s="24">
        <v>1149532</v>
      </c>
      <c r="H16" s="24">
        <v>638287</v>
      </c>
      <c r="I16" s="24">
        <v>292230</v>
      </c>
      <c r="J16" s="24">
        <v>85196</v>
      </c>
      <c r="K16" s="24">
        <v>48996</v>
      </c>
      <c r="L16" s="24">
        <v>6519997.8700000001</v>
      </c>
      <c r="M16" s="24">
        <v>640808</v>
      </c>
      <c r="N16" s="24">
        <v>1129600</v>
      </c>
      <c r="O16" s="24">
        <v>3883282</v>
      </c>
      <c r="P16" s="24">
        <v>4016466</v>
      </c>
      <c r="Q16" s="24">
        <v>729312</v>
      </c>
      <c r="R16" s="24">
        <v>125948</v>
      </c>
      <c r="S16" s="24">
        <v>419061</v>
      </c>
      <c r="T16" s="24">
        <v>1142240</v>
      </c>
      <c r="U16" s="24">
        <v>298581</v>
      </c>
      <c r="V16" s="24">
        <f>SUM(V4:V15)</f>
        <v>13083277</v>
      </c>
      <c r="W16" s="24">
        <v>96048776</v>
      </c>
      <c r="X16" s="24">
        <v>26128511</v>
      </c>
      <c r="Y16" s="24">
        <v>75585</v>
      </c>
      <c r="Z16" s="24">
        <v>1624097</v>
      </c>
      <c r="AA16" s="24">
        <v>114194</v>
      </c>
      <c r="AB16" s="24">
        <v>402372</v>
      </c>
      <c r="AC16" s="24">
        <v>734942</v>
      </c>
      <c r="AD16" s="24">
        <v>1831051</v>
      </c>
      <c r="AE16" s="24">
        <v>560214</v>
      </c>
      <c r="AF16" s="24">
        <v>8930240</v>
      </c>
      <c r="AG16" s="24">
        <v>2920352</v>
      </c>
      <c r="AH16" s="156">
        <v>17617565</v>
      </c>
      <c r="AI16" s="24">
        <v>599918</v>
      </c>
      <c r="AJ16" s="24">
        <f t="shared" si="0"/>
        <v>224338127.87</v>
      </c>
    </row>
    <row r="17" spans="8:34" x14ac:dyDescent="0.25">
      <c r="H17" s="100"/>
      <c r="O17" s="11"/>
      <c r="AH17" s="144"/>
    </row>
    <row r="18" spans="8:34" x14ac:dyDescent="0.25">
      <c r="O18" s="11"/>
    </row>
    <row r="19" spans="8:34" x14ac:dyDescent="0.25">
      <c r="O19" s="11"/>
      <c r="AH19" s="146"/>
    </row>
    <row r="20" spans="8:34" x14ac:dyDescent="0.25">
      <c r="O20" s="11"/>
    </row>
    <row r="21" spans="8:34" x14ac:dyDescent="0.25">
      <c r="O21" s="18"/>
    </row>
    <row r="22" spans="8:34" x14ac:dyDescent="0.25">
      <c r="O22" s="11"/>
    </row>
    <row r="23" spans="8:34" x14ac:dyDescent="0.25">
      <c r="O23" s="11"/>
    </row>
    <row r="24" spans="8:34" x14ac:dyDescent="0.25">
      <c r="O24" s="11"/>
    </row>
    <row r="25" spans="8:34" x14ac:dyDescent="0.25">
      <c r="O25" s="11"/>
    </row>
    <row r="26" spans="8:34" x14ac:dyDescent="0.25">
      <c r="O26" s="18"/>
    </row>
    <row r="27" spans="8:34" x14ac:dyDescent="0.25">
      <c r="O27" s="11"/>
    </row>
    <row r="28" spans="8:34" x14ac:dyDescent="0.25">
      <c r="O28" s="11"/>
    </row>
    <row r="29" spans="8:34" x14ac:dyDescent="0.25">
      <c r="O29" s="11"/>
    </row>
    <row r="30" spans="8:34" x14ac:dyDescent="0.25">
      <c r="O30" s="11"/>
    </row>
    <row r="31" spans="8:34" x14ac:dyDescent="0.25">
      <c r="O31" s="11"/>
    </row>
    <row r="32" spans="8:34" x14ac:dyDescent="0.25">
      <c r="O32" s="18"/>
    </row>
    <row r="33" spans="15:15" x14ac:dyDescent="0.25">
      <c r="O33" s="11"/>
    </row>
    <row r="34" spans="15:15" x14ac:dyDescent="0.25">
      <c r="O34" s="18"/>
    </row>
    <row r="35" spans="15:15" x14ac:dyDescent="0.25">
      <c r="O35" s="11"/>
    </row>
    <row r="36" spans="15:15" x14ac:dyDescent="0.25">
      <c r="O36" s="18"/>
    </row>
    <row r="37" spans="15:15" x14ac:dyDescent="0.25">
      <c r="O37" s="11"/>
    </row>
    <row r="38" spans="15:15" x14ac:dyDescent="0.25">
      <c r="O38" s="11"/>
    </row>
    <row r="39" spans="15:15" x14ac:dyDescent="0.25">
      <c r="O39" s="11"/>
    </row>
    <row r="40" spans="15:15" x14ac:dyDescent="0.25">
      <c r="O40" s="11"/>
    </row>
    <row r="41" spans="15:15" x14ac:dyDescent="0.25">
      <c r="O41" s="18"/>
    </row>
    <row r="42" spans="15:15" x14ac:dyDescent="0.25">
      <c r="O42" s="18"/>
    </row>
    <row r="43" spans="15:15" x14ac:dyDescent="0.25">
      <c r="O43" s="11"/>
    </row>
    <row r="44" spans="15:15" x14ac:dyDescent="0.25">
      <c r="O44" s="19"/>
    </row>
    <row r="45" spans="15:15" x14ac:dyDescent="0.25">
      <c r="O45" s="11"/>
    </row>
    <row r="46" spans="15:15" x14ac:dyDescent="0.25">
      <c r="O46" s="11"/>
    </row>
    <row r="47" spans="15:15" x14ac:dyDescent="0.25">
      <c r="O47" s="11"/>
    </row>
    <row r="48" spans="15:15" x14ac:dyDescent="0.25">
      <c r="O48" s="11"/>
    </row>
    <row r="49" spans="15:15" x14ac:dyDescent="0.25">
      <c r="O49" s="11"/>
    </row>
    <row r="50" spans="15:15" x14ac:dyDescent="0.25">
      <c r="O50" s="16">
        <v>18168181</v>
      </c>
    </row>
    <row r="51" spans="15:15" x14ac:dyDescent="0.25">
      <c r="O51" s="16">
        <v>6100204</v>
      </c>
    </row>
    <row r="52" spans="15:15" x14ac:dyDescent="0.25">
      <c r="O52" s="11"/>
    </row>
    <row r="53" spans="15:15" x14ac:dyDescent="0.25">
      <c r="O53" s="11"/>
    </row>
    <row r="54" spans="15:15" x14ac:dyDescent="0.25">
      <c r="O54" s="16">
        <v>2600514</v>
      </c>
    </row>
    <row r="55" spans="15:15" x14ac:dyDescent="0.25">
      <c r="O55" s="16">
        <v>53757</v>
      </c>
    </row>
    <row r="56" spans="15:15" x14ac:dyDescent="0.25">
      <c r="O56" s="11"/>
    </row>
    <row r="57" spans="15:15" x14ac:dyDescent="0.25">
      <c r="O57" s="11"/>
    </row>
    <row r="58" spans="15:15" x14ac:dyDescent="0.25">
      <c r="O58" s="16">
        <v>10704856</v>
      </c>
    </row>
    <row r="59" spans="15:15" x14ac:dyDescent="0.25">
      <c r="O59" s="11"/>
    </row>
    <row r="60" spans="15:15" x14ac:dyDescent="0.25">
      <c r="O60" s="16">
        <v>336110</v>
      </c>
    </row>
    <row r="61" spans="15:15" x14ac:dyDescent="0.25">
      <c r="O61" s="11"/>
    </row>
    <row r="62" spans="15:15" x14ac:dyDescent="0.25">
      <c r="O62" s="11"/>
    </row>
    <row r="63" spans="15:15" x14ac:dyDescent="0.25">
      <c r="O63" s="11"/>
    </row>
    <row r="64" spans="15:15" x14ac:dyDescent="0.25">
      <c r="O64" s="16">
        <v>17948264</v>
      </c>
    </row>
    <row r="65" spans="15:15" x14ac:dyDescent="0.25">
      <c r="O65" s="11">
        <v>973343</v>
      </c>
    </row>
    <row r="66" spans="15:15" x14ac:dyDescent="0.25">
      <c r="O66" s="11"/>
    </row>
    <row r="67" spans="15:15" x14ac:dyDescent="0.25">
      <c r="O67" s="11"/>
    </row>
    <row r="68" spans="15:15" x14ac:dyDescent="0.25">
      <c r="O68" s="11"/>
    </row>
    <row r="69" spans="15:15" x14ac:dyDescent="0.25">
      <c r="O69" s="16">
        <v>1375959</v>
      </c>
    </row>
    <row r="70" spans="15:15" x14ac:dyDescent="0.25">
      <c r="O70" s="11"/>
    </row>
    <row r="71" spans="15:15" x14ac:dyDescent="0.25">
      <c r="O71" s="11"/>
    </row>
    <row r="72" spans="15:15" x14ac:dyDescent="0.25">
      <c r="O72" s="11"/>
    </row>
    <row r="73" spans="15:15" x14ac:dyDescent="0.25">
      <c r="O73" s="11"/>
    </row>
    <row r="74" spans="15:15" x14ac:dyDescent="0.25">
      <c r="O74" s="11"/>
    </row>
    <row r="75" spans="15:15" x14ac:dyDescent="0.25">
      <c r="O75" s="16">
        <v>2335077</v>
      </c>
    </row>
    <row r="76" spans="15:15" x14ac:dyDescent="0.25">
      <c r="O76" s="11"/>
    </row>
    <row r="77" spans="15:15" x14ac:dyDescent="0.25">
      <c r="O77" s="16">
        <v>1487508</v>
      </c>
    </row>
    <row r="78" spans="15:15" x14ac:dyDescent="0.25">
      <c r="O78" s="11"/>
    </row>
    <row r="79" spans="15:15" x14ac:dyDescent="0.25">
      <c r="O79" s="16">
        <v>1413880</v>
      </c>
    </row>
    <row r="80" spans="15:15" x14ac:dyDescent="0.25">
      <c r="O80" s="11"/>
    </row>
    <row r="81" spans="15:15" x14ac:dyDescent="0.25">
      <c r="O81" s="11"/>
    </row>
    <row r="82" spans="15:15" x14ac:dyDescent="0.25">
      <c r="O82" s="11"/>
    </row>
    <row r="83" spans="15:15" x14ac:dyDescent="0.25">
      <c r="O83" s="11"/>
    </row>
    <row r="84" spans="15:15" x14ac:dyDescent="0.25">
      <c r="O84" s="16">
        <v>4376443</v>
      </c>
    </row>
    <row r="85" spans="15:15" x14ac:dyDescent="0.25">
      <c r="O85" s="16">
        <v>418995</v>
      </c>
    </row>
    <row r="87" spans="15:15" x14ac:dyDescent="0.25">
      <c r="O87" s="20">
        <v>68293089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9.7109375" style="6" customWidth="1"/>
    <col min="2" max="36" width="16" style="4" customWidth="1"/>
    <col min="37" max="16384" width="9.140625" style="4"/>
  </cols>
  <sheetData>
    <row r="1" spans="1:36" s="17" customFormat="1" ht="37.5" x14ac:dyDescent="0.3">
      <c r="A1" s="27" t="s">
        <v>326</v>
      </c>
    </row>
    <row r="2" spans="1:36" x14ac:dyDescent="0.25">
      <c r="A2" s="70" t="s">
        <v>43</v>
      </c>
    </row>
    <row r="3" spans="1:36" s="22" customFormat="1" x14ac:dyDescent="0.25">
      <c r="A3" s="26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03" t="s">
        <v>10</v>
      </c>
      <c r="L3" s="103" t="s">
        <v>11</v>
      </c>
      <c r="M3" s="103" t="s">
        <v>12</v>
      </c>
      <c r="N3" s="103" t="s">
        <v>13</v>
      </c>
      <c r="O3" s="103" t="s">
        <v>14</v>
      </c>
      <c r="P3" s="103" t="s">
        <v>15</v>
      </c>
      <c r="Q3" s="103" t="s">
        <v>16</v>
      </c>
      <c r="R3" s="103" t="s">
        <v>17</v>
      </c>
      <c r="S3" s="103" t="s">
        <v>18</v>
      </c>
      <c r="T3" s="103" t="s">
        <v>19</v>
      </c>
      <c r="U3" s="103" t="s">
        <v>20</v>
      </c>
      <c r="V3" s="103" t="s">
        <v>21</v>
      </c>
      <c r="W3" s="103" t="s">
        <v>147</v>
      </c>
      <c r="X3" s="103" t="s">
        <v>148</v>
      </c>
      <c r="Y3" s="103" t="s">
        <v>22</v>
      </c>
      <c r="Z3" s="103" t="s">
        <v>23</v>
      </c>
      <c r="AA3" s="103" t="s">
        <v>332</v>
      </c>
      <c r="AB3" s="103" t="s">
        <v>24</v>
      </c>
      <c r="AC3" s="103" t="s">
        <v>25</v>
      </c>
      <c r="AD3" s="103" t="s">
        <v>26</v>
      </c>
      <c r="AE3" s="103" t="s">
        <v>27</v>
      </c>
      <c r="AF3" s="103" t="s">
        <v>28</v>
      </c>
      <c r="AG3" s="103" t="s">
        <v>29</v>
      </c>
      <c r="AH3" s="103" t="s">
        <v>30</v>
      </c>
      <c r="AI3" s="103" t="s">
        <v>31</v>
      </c>
      <c r="AJ3" s="103" t="s">
        <v>250</v>
      </c>
    </row>
    <row r="4" spans="1:36" x14ac:dyDescent="0.25">
      <c r="A4" s="25" t="s">
        <v>133</v>
      </c>
      <c r="B4" s="21">
        <v>3699</v>
      </c>
      <c r="C4" s="21">
        <v>86173</v>
      </c>
      <c r="D4" s="21"/>
      <c r="E4" s="21">
        <v>264896</v>
      </c>
      <c r="F4" s="21">
        <v>1552059</v>
      </c>
      <c r="G4" s="21">
        <v>156294</v>
      </c>
      <c r="H4" s="21">
        <v>185754</v>
      </c>
      <c r="I4" s="21">
        <v>47914</v>
      </c>
      <c r="J4" s="21">
        <v>84735</v>
      </c>
      <c r="K4" s="21">
        <v>289</v>
      </c>
      <c r="L4" s="21"/>
      <c r="M4" s="21">
        <v>101646</v>
      </c>
      <c r="N4" s="21">
        <v>92147</v>
      </c>
      <c r="O4" s="21">
        <v>309298</v>
      </c>
      <c r="P4" s="21">
        <v>141308</v>
      </c>
      <c r="Q4" s="21">
        <v>372642</v>
      </c>
      <c r="R4" s="21">
        <v>19599</v>
      </c>
      <c r="S4" s="21">
        <v>178769</v>
      </c>
      <c r="T4" s="21">
        <v>29802</v>
      </c>
      <c r="U4" s="21">
        <v>128865</v>
      </c>
      <c r="V4" s="21">
        <v>1216875</v>
      </c>
      <c r="W4" s="21">
        <v>2033189</v>
      </c>
      <c r="X4" s="38">
        <v>940934</v>
      </c>
      <c r="Y4" s="21">
        <v>10290</v>
      </c>
      <c r="Z4" s="21">
        <v>219161</v>
      </c>
      <c r="AA4" s="21">
        <v>763</v>
      </c>
      <c r="AB4" s="21">
        <v>210676</v>
      </c>
      <c r="AC4" s="21">
        <v>257585</v>
      </c>
      <c r="AD4" s="21">
        <v>235440</v>
      </c>
      <c r="AE4" s="21">
        <v>120049</v>
      </c>
      <c r="AF4" s="21">
        <v>407522</v>
      </c>
      <c r="AG4" s="21">
        <v>942015</v>
      </c>
      <c r="AH4" s="38">
        <v>994622</v>
      </c>
      <c r="AI4" s="21">
        <v>113574</v>
      </c>
      <c r="AJ4" s="21">
        <f>SUM(B4:AI4)</f>
        <v>11458584</v>
      </c>
    </row>
    <row r="5" spans="1:36" ht="15" customHeight="1" x14ac:dyDescent="0.25">
      <c r="A5" s="25" t="s">
        <v>134</v>
      </c>
      <c r="B5" s="21">
        <v>307886</v>
      </c>
      <c r="C5" s="21">
        <v>92916</v>
      </c>
      <c r="D5" s="21">
        <v>32860446</v>
      </c>
      <c r="E5" s="21">
        <v>732657</v>
      </c>
      <c r="F5" s="21">
        <v>13882103</v>
      </c>
      <c r="G5" s="21">
        <v>4312292</v>
      </c>
      <c r="H5" s="21">
        <v>3930461</v>
      </c>
      <c r="I5" s="21">
        <v>10618</v>
      </c>
      <c r="J5" s="21">
        <v>126610</v>
      </c>
      <c r="K5" s="21">
        <v>99400</v>
      </c>
      <c r="L5" s="21">
        <v>1202713.25</v>
      </c>
      <c r="M5" s="21">
        <v>4230476</v>
      </c>
      <c r="N5" s="21">
        <v>675719</v>
      </c>
      <c r="O5" s="21">
        <v>13445547</v>
      </c>
      <c r="P5" s="21">
        <v>17347674</v>
      </c>
      <c r="Q5" s="21">
        <v>7189015</v>
      </c>
      <c r="R5" s="21">
        <v>92143</v>
      </c>
      <c r="S5" s="21">
        <v>190431</v>
      </c>
      <c r="T5" s="21">
        <v>792778</v>
      </c>
      <c r="U5" s="21">
        <v>623012</v>
      </c>
      <c r="V5" s="21">
        <v>22396813</v>
      </c>
      <c r="W5" s="21">
        <v>12249241</v>
      </c>
      <c r="X5" s="38">
        <v>14436590</v>
      </c>
      <c r="Y5" s="21">
        <v>137274</v>
      </c>
      <c r="Z5" s="21">
        <v>4561357</v>
      </c>
      <c r="AA5" s="21">
        <v>6990</v>
      </c>
      <c r="AB5" s="21">
        <v>215302</v>
      </c>
      <c r="AC5" s="21">
        <v>1656650</v>
      </c>
      <c r="AD5" s="21">
        <v>6400715</v>
      </c>
      <c r="AE5" s="21">
        <v>141835</v>
      </c>
      <c r="AF5" s="21">
        <v>4451</v>
      </c>
      <c r="AG5" s="21">
        <v>13915939</v>
      </c>
      <c r="AH5" s="38">
        <v>13623505</v>
      </c>
      <c r="AI5" s="21">
        <v>3055080</v>
      </c>
      <c r="AJ5" s="21">
        <f t="shared" ref="AJ5:AJ16" si="0">SUM(B5:AI5)</f>
        <v>194946639.25</v>
      </c>
    </row>
    <row r="6" spans="1:36" x14ac:dyDescent="0.25">
      <c r="A6" s="25" t="s">
        <v>135</v>
      </c>
      <c r="B6" s="21"/>
      <c r="C6" s="21"/>
      <c r="D6" s="21"/>
      <c r="E6" s="21"/>
      <c r="F6" s="21"/>
      <c r="G6" s="21">
        <v>52543</v>
      </c>
      <c r="H6" s="21"/>
      <c r="I6" s="21"/>
      <c r="J6" s="21"/>
      <c r="K6" s="21"/>
      <c r="L6" s="21"/>
      <c r="M6" s="21"/>
      <c r="N6" s="21"/>
      <c r="O6" s="21"/>
      <c r="P6" s="21">
        <v>192748</v>
      </c>
      <c r="Q6" s="21"/>
      <c r="R6" s="21"/>
      <c r="S6" s="21"/>
      <c r="T6" s="21">
        <v>527584</v>
      </c>
      <c r="U6" s="21"/>
      <c r="V6" s="21">
        <v>23526322</v>
      </c>
      <c r="W6" s="21">
        <v>396753</v>
      </c>
      <c r="X6" s="38">
        <v>607980</v>
      </c>
      <c r="Y6" s="21"/>
      <c r="Z6" s="21"/>
      <c r="AA6" s="21"/>
      <c r="AB6" s="21"/>
      <c r="AC6" s="21"/>
      <c r="AD6" s="21"/>
      <c r="AE6" s="21"/>
      <c r="AF6" s="21"/>
      <c r="AG6" s="21"/>
      <c r="AH6" s="38">
        <v>5857</v>
      </c>
      <c r="AI6" s="21"/>
      <c r="AJ6" s="21">
        <f t="shared" si="0"/>
        <v>25309787</v>
      </c>
    </row>
    <row r="7" spans="1:36" x14ac:dyDescent="0.25">
      <c r="A7" s="25" t="s">
        <v>136</v>
      </c>
      <c r="B7" s="21">
        <v>84978</v>
      </c>
      <c r="C7" s="21">
        <v>18466</v>
      </c>
      <c r="D7" s="21"/>
      <c r="E7" s="21">
        <v>203025</v>
      </c>
      <c r="F7" s="21">
        <v>6567583</v>
      </c>
      <c r="G7" s="21">
        <v>1493101</v>
      </c>
      <c r="H7" s="21">
        <v>2436675</v>
      </c>
      <c r="I7" s="21">
        <v>244466</v>
      </c>
      <c r="J7" s="21">
        <v>25343</v>
      </c>
      <c r="K7" s="21">
        <v>259</v>
      </c>
      <c r="L7" s="21">
        <v>1936836.58</v>
      </c>
      <c r="M7" s="21">
        <v>452153</v>
      </c>
      <c r="N7" s="21">
        <v>157451</v>
      </c>
      <c r="O7" s="21">
        <v>3557773</v>
      </c>
      <c r="P7" s="21">
        <v>13438460</v>
      </c>
      <c r="Q7" s="21">
        <v>4250441</v>
      </c>
      <c r="R7" s="21">
        <v>88549</v>
      </c>
      <c r="S7" s="21">
        <v>1561007</v>
      </c>
      <c r="T7" s="21">
        <v>813606</v>
      </c>
      <c r="U7" s="21">
        <v>60798</v>
      </c>
      <c r="V7" s="21">
        <v>5718254</v>
      </c>
      <c r="W7" s="21">
        <v>5512659</v>
      </c>
      <c r="X7" s="38">
        <v>3452192</v>
      </c>
      <c r="Y7" s="21">
        <v>9575</v>
      </c>
      <c r="Z7" s="21">
        <v>3319830</v>
      </c>
      <c r="AA7" s="21"/>
      <c r="AB7" s="21">
        <v>775318</v>
      </c>
      <c r="AC7" s="21">
        <v>996920</v>
      </c>
      <c r="AD7" s="21">
        <v>471505</v>
      </c>
      <c r="AE7" s="21">
        <v>1779110</v>
      </c>
      <c r="AF7" s="21">
        <v>413905</v>
      </c>
      <c r="AG7" s="21">
        <v>6747241</v>
      </c>
      <c r="AH7" s="38">
        <v>3069009</v>
      </c>
      <c r="AI7" s="21">
        <v>481952</v>
      </c>
      <c r="AJ7" s="21">
        <f t="shared" si="0"/>
        <v>70138440.579999998</v>
      </c>
    </row>
    <row r="8" spans="1:36" x14ac:dyDescent="0.25">
      <c r="A8" s="25" t="s">
        <v>139</v>
      </c>
      <c r="B8" s="21"/>
      <c r="C8" s="21">
        <v>481391</v>
      </c>
      <c r="D8" s="21"/>
      <c r="E8" s="21">
        <v>432500</v>
      </c>
      <c r="F8" s="21">
        <v>3790599</v>
      </c>
      <c r="G8" s="21">
        <v>701582</v>
      </c>
      <c r="H8" s="21">
        <v>1367726</v>
      </c>
      <c r="I8" s="21">
        <v>179396</v>
      </c>
      <c r="J8" s="21">
        <v>26623</v>
      </c>
      <c r="K8" s="21">
        <v>55600</v>
      </c>
      <c r="L8" s="21">
        <v>345437.58</v>
      </c>
      <c r="M8" s="21">
        <v>1140558</v>
      </c>
      <c r="N8" s="21">
        <v>1253485</v>
      </c>
      <c r="O8" s="21">
        <v>4883772</v>
      </c>
      <c r="P8" s="21">
        <v>8283352</v>
      </c>
      <c r="Q8" s="21">
        <v>69627</v>
      </c>
      <c r="R8" s="21">
        <v>69306</v>
      </c>
      <c r="S8" s="21">
        <v>523230</v>
      </c>
      <c r="T8" s="21">
        <v>47590</v>
      </c>
      <c r="U8" s="21">
        <v>115516</v>
      </c>
      <c r="V8" s="21">
        <v>2627300</v>
      </c>
      <c r="W8" s="21">
        <v>18409236</v>
      </c>
      <c r="X8" s="21"/>
      <c r="Y8" s="21">
        <v>6006</v>
      </c>
      <c r="Z8" s="21">
        <v>7995323</v>
      </c>
      <c r="AA8" s="21">
        <v>1678</v>
      </c>
      <c r="AB8" s="21">
        <v>318943</v>
      </c>
      <c r="AC8" s="21">
        <v>120583</v>
      </c>
      <c r="AD8" s="21">
        <v>4535629</v>
      </c>
      <c r="AE8" s="21">
        <v>101223</v>
      </c>
      <c r="AF8" s="21">
        <v>76236</v>
      </c>
      <c r="AG8" s="21">
        <v>7236340</v>
      </c>
      <c r="AH8" s="21"/>
      <c r="AI8" s="21">
        <v>2566</v>
      </c>
      <c r="AJ8" s="21">
        <f t="shared" si="0"/>
        <v>65198353.579999998</v>
      </c>
    </row>
    <row r="9" spans="1:36" x14ac:dyDescent="0.25">
      <c r="A9" s="25" t="s">
        <v>137</v>
      </c>
      <c r="B9" s="21">
        <v>237715</v>
      </c>
      <c r="C9" s="21">
        <v>584043</v>
      </c>
      <c r="D9" s="21">
        <v>2129999</v>
      </c>
      <c r="E9" s="21">
        <v>443961</v>
      </c>
      <c r="F9" s="21">
        <v>3679474</v>
      </c>
      <c r="G9" s="21">
        <v>96421</v>
      </c>
      <c r="H9" s="21">
        <f>292617+1755</f>
        <v>294372</v>
      </c>
      <c r="I9" s="21">
        <v>69800</v>
      </c>
      <c r="J9" s="21">
        <v>242730</v>
      </c>
      <c r="K9" s="21">
        <v>99309</v>
      </c>
      <c r="L9" s="21">
        <v>281306.53000000003</v>
      </c>
      <c r="M9" s="21">
        <v>957450</v>
      </c>
      <c r="N9" s="21">
        <v>914971</v>
      </c>
      <c r="O9" s="21">
        <v>5503046</v>
      </c>
      <c r="P9" s="21">
        <v>6250006</v>
      </c>
      <c r="Q9" s="21">
        <v>1185978</v>
      </c>
      <c r="R9" s="21">
        <v>6813</v>
      </c>
      <c r="S9" s="21">
        <v>433346</v>
      </c>
      <c r="T9" s="21">
        <v>338980</v>
      </c>
      <c r="U9" s="21">
        <v>1460981</v>
      </c>
      <c r="V9" s="21">
        <v>18916740</v>
      </c>
      <c r="W9" s="21">
        <v>25223948</v>
      </c>
      <c r="X9" s="38">
        <v>15326821</v>
      </c>
      <c r="Y9" s="21">
        <v>44536</v>
      </c>
      <c r="Z9" s="21">
        <v>1989880</v>
      </c>
      <c r="AA9" s="21">
        <v>33369</v>
      </c>
      <c r="AB9" s="21">
        <v>1588408</v>
      </c>
      <c r="AC9" s="21">
        <v>2587824</v>
      </c>
      <c r="AD9" s="21">
        <v>1531292</v>
      </c>
      <c r="AE9" s="21">
        <v>296313</v>
      </c>
      <c r="AF9" s="21">
        <v>1801771</v>
      </c>
      <c r="AG9" s="21">
        <v>5056494</v>
      </c>
      <c r="AH9" s="38">
        <v>25688829</v>
      </c>
      <c r="AI9" s="21">
        <v>482108</v>
      </c>
      <c r="AJ9" s="21">
        <f t="shared" si="0"/>
        <v>125779034.53</v>
      </c>
    </row>
    <row r="10" spans="1:36" x14ac:dyDescent="0.25">
      <c r="A10" s="25" t="s">
        <v>186</v>
      </c>
      <c r="B10" s="21">
        <v>6482</v>
      </c>
      <c r="C10" s="21">
        <v>27224</v>
      </c>
      <c r="D10" s="21"/>
      <c r="E10" s="21"/>
      <c r="F10" s="21"/>
      <c r="G10" s="21"/>
      <c r="H10" s="21"/>
      <c r="I10" s="21"/>
      <c r="J10" s="21"/>
      <c r="K10" s="21">
        <v>12175</v>
      </c>
      <c r="L10" s="21"/>
      <c r="M10" s="21"/>
      <c r="N10" s="21">
        <v>18348</v>
      </c>
      <c r="O10" s="21">
        <v>69740</v>
      </c>
      <c r="P10" s="21">
        <v>87794</v>
      </c>
      <c r="Q10" s="21"/>
      <c r="R10" s="21">
        <v>17585</v>
      </c>
      <c r="S10" s="21"/>
      <c r="T10" s="21"/>
      <c r="U10" s="21">
        <v>108000</v>
      </c>
      <c r="V10" s="21"/>
      <c r="W10" s="21"/>
      <c r="X10" s="21"/>
      <c r="Y10" s="21"/>
      <c r="Z10" s="21"/>
      <c r="AA10" s="21"/>
      <c r="AB10" s="21">
        <v>3527</v>
      </c>
      <c r="AC10" s="21">
        <v>50377</v>
      </c>
      <c r="AD10" s="21">
        <v>149016</v>
      </c>
      <c r="AE10" s="21"/>
      <c r="AF10" s="21"/>
      <c r="AG10" s="21"/>
      <c r="AH10" s="21"/>
      <c r="AI10" s="21"/>
      <c r="AJ10" s="21">
        <f t="shared" si="0"/>
        <v>550268</v>
      </c>
    </row>
    <row r="11" spans="1:36" x14ac:dyDescent="0.25">
      <c r="A11" s="25" t="s">
        <v>212</v>
      </c>
      <c r="B11" s="21">
        <v>216697</v>
      </c>
      <c r="C11" s="21">
        <v>506833</v>
      </c>
      <c r="D11" s="21">
        <v>26246217</v>
      </c>
      <c r="E11" s="21">
        <v>2166984</v>
      </c>
      <c r="F11" s="21">
        <v>68470433</v>
      </c>
      <c r="G11" s="21">
        <f>20331150+605917</f>
        <v>20937067</v>
      </c>
      <c r="H11" s="21">
        <v>42309553</v>
      </c>
      <c r="I11" s="21">
        <v>503619</v>
      </c>
      <c r="J11" s="21">
        <v>230909</v>
      </c>
      <c r="K11" s="21">
        <v>329518</v>
      </c>
      <c r="L11" s="21">
        <v>58777165.590000004</v>
      </c>
      <c r="M11" s="21">
        <v>19467986</v>
      </c>
      <c r="N11" s="21">
        <v>3429034</v>
      </c>
      <c r="O11" s="21">
        <v>35586841</v>
      </c>
      <c r="P11" s="21">
        <v>164255969</v>
      </c>
      <c r="Q11" s="21">
        <v>43113172</v>
      </c>
      <c r="R11" s="21">
        <v>1382649</v>
      </c>
      <c r="S11" s="21">
        <v>6550562</v>
      </c>
      <c r="T11" s="21">
        <v>7936461</v>
      </c>
      <c r="U11" s="21">
        <v>904423</v>
      </c>
      <c r="V11" s="21">
        <v>158763727</v>
      </c>
      <c r="W11" s="21">
        <v>231144253</v>
      </c>
      <c r="X11" s="38">
        <v>125024443</v>
      </c>
      <c r="Y11" s="21">
        <v>1488355</v>
      </c>
      <c r="Z11" s="21">
        <f>53563005+137330</f>
        <v>53700335</v>
      </c>
      <c r="AA11" s="21">
        <v>1817</v>
      </c>
      <c r="AB11" s="21">
        <v>1647587</v>
      </c>
      <c r="AC11" s="21">
        <v>28151349</v>
      </c>
      <c r="AD11" s="21">
        <v>24476341</v>
      </c>
      <c r="AE11" s="21">
        <v>57984359</v>
      </c>
      <c r="AF11" s="21">
        <v>3622874</v>
      </c>
      <c r="AG11" s="21">
        <v>40006025</v>
      </c>
      <c r="AH11" s="38">
        <v>182761597</v>
      </c>
      <c r="AI11" s="21">
        <v>15012720</v>
      </c>
      <c r="AJ11" s="21">
        <f t="shared" si="0"/>
        <v>1427107874.5900002</v>
      </c>
    </row>
    <row r="12" spans="1:36" x14ac:dyDescent="0.25">
      <c r="A12" s="25" t="s">
        <v>187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>
        <v>3378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>
        <v>15808</v>
      </c>
      <c r="AD12" s="21"/>
      <c r="AE12" s="21"/>
      <c r="AF12" s="21"/>
      <c r="AG12" s="21">
        <v>2700</v>
      </c>
      <c r="AH12" s="21"/>
      <c r="AI12" s="21"/>
      <c r="AJ12" s="21">
        <f t="shared" si="0"/>
        <v>21886</v>
      </c>
    </row>
    <row r="13" spans="1:36" x14ac:dyDescent="0.25">
      <c r="A13" s="25" t="s">
        <v>138</v>
      </c>
      <c r="B13" s="21"/>
      <c r="C13" s="21">
        <v>1013</v>
      </c>
      <c r="D13" s="21">
        <v>1149944</v>
      </c>
      <c r="E13" s="21">
        <v>23112</v>
      </c>
      <c r="F13" s="21">
        <v>81928</v>
      </c>
      <c r="G13" s="21">
        <f>62532+256251</f>
        <v>318783</v>
      </c>
      <c r="H13" s="21"/>
      <c r="I13" s="21">
        <f>955+8776</f>
        <v>9731</v>
      </c>
      <c r="J13" s="21"/>
      <c r="K13" s="21"/>
      <c r="L13" s="21">
        <v>16634.599999999999</v>
      </c>
      <c r="M13" s="21">
        <v>61852</v>
      </c>
      <c r="N13" s="21"/>
      <c r="O13" s="21">
        <v>228213</v>
      </c>
      <c r="P13" s="21">
        <v>1938704</v>
      </c>
      <c r="Q13" s="21">
        <f>51161+237657</f>
        <v>288818</v>
      </c>
      <c r="R13" s="21">
        <v>735</v>
      </c>
      <c r="S13" s="21">
        <v>10593</v>
      </c>
      <c r="T13" s="21">
        <v>28373</v>
      </c>
      <c r="U13" s="21">
        <v>10731</v>
      </c>
      <c r="V13" s="21">
        <v>1100621</v>
      </c>
      <c r="W13" s="21">
        <v>1589987</v>
      </c>
      <c r="X13" s="38">
        <v>834321</v>
      </c>
      <c r="Y13" s="21">
        <v>5242</v>
      </c>
      <c r="Z13" s="21"/>
      <c r="AA13" s="21"/>
      <c r="AB13" s="21">
        <v>19485</v>
      </c>
      <c r="AC13" s="21">
        <v>56465</v>
      </c>
      <c r="AD13" s="21">
        <f>49030+4805</f>
        <v>53835</v>
      </c>
      <c r="AE13" s="21">
        <v>232597</v>
      </c>
      <c r="AF13" s="21">
        <v>67637</v>
      </c>
      <c r="AG13" s="21">
        <v>262544</v>
      </c>
      <c r="AH13" s="38">
        <v>1705688</v>
      </c>
      <c r="AI13" s="21"/>
      <c r="AJ13" s="21">
        <f t="shared" si="0"/>
        <v>10097586.6</v>
      </c>
    </row>
    <row r="14" spans="1:36" ht="30" x14ac:dyDescent="0.25">
      <c r="A14" s="25" t="s">
        <v>211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>
        <v>281425</v>
      </c>
      <c r="Q14" s="21"/>
      <c r="R14" s="21"/>
      <c r="S14" s="21">
        <v>1118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>
        <v>6232</v>
      </c>
      <c r="AJ14" s="21">
        <f t="shared" si="0"/>
        <v>288775</v>
      </c>
    </row>
    <row r="15" spans="1:36" x14ac:dyDescent="0.25">
      <c r="A15" s="25" t="s">
        <v>171</v>
      </c>
      <c r="B15" s="21">
        <f>24793+486+96063+25000</f>
        <v>146342</v>
      </c>
      <c r="C15" s="21">
        <f>18504+187436+10531+78295+3915</f>
        <v>298681</v>
      </c>
      <c r="D15" s="21">
        <f>D16-D13-D11-D9-D5</f>
        <v>11654432</v>
      </c>
      <c r="E15" s="21">
        <v>852253</v>
      </c>
      <c r="F15" s="21">
        <f>F16-F13-F11-F9-F8-F7-F5-F4</f>
        <v>2741042</v>
      </c>
      <c r="G15" s="21">
        <f>G16-G13-G11-G9-G8-G7-G6-G5-G4</f>
        <v>3269550</v>
      </c>
      <c r="H15" s="21">
        <f>H16-H11-H9-H8-H7-H5-H4</f>
        <v>2068068</v>
      </c>
      <c r="I15" s="21">
        <f>I16-I13-I11-I9-I8-I7-I5-I4</f>
        <v>596733</v>
      </c>
      <c r="J15" s="21">
        <v>21011</v>
      </c>
      <c r="K15" s="21">
        <f>K16-K11-K10-K9-K8-K7-K5-K4</f>
        <v>266474</v>
      </c>
      <c r="L15" s="21">
        <f>L16-L13-L11-L9-L8-L7-L5</f>
        <v>404841.76999999303</v>
      </c>
      <c r="M15" s="21">
        <v>572460</v>
      </c>
      <c r="N15" s="21">
        <f>N16-N11-N10-N9-N8-N7-N5-N4</f>
        <v>961012</v>
      </c>
      <c r="O15" s="21">
        <f>42230+20218+101450</f>
        <v>163898</v>
      </c>
      <c r="P15" s="21">
        <f>P16-P14-P13-P12-P11-P10-P9-P8-P7-P6-P5-P4</f>
        <v>4010916</v>
      </c>
      <c r="Q15" s="21">
        <f>Q16-Q13-Q11-Q9-Q8-Q7-Q5-Q4</f>
        <v>1318018</v>
      </c>
      <c r="R15" s="21">
        <f>R16-R14-R13-R12-R11-R10-R9-R8-R7-R6-R5-R4</f>
        <v>246834</v>
      </c>
      <c r="S15" s="21">
        <f>369754+25388</f>
        <v>395142</v>
      </c>
      <c r="T15" s="21">
        <v>604966</v>
      </c>
      <c r="U15" s="21">
        <f>U16-U13-U11-U10-U9-U8-U7-U5-U4</f>
        <v>246782</v>
      </c>
      <c r="V15" s="21">
        <f>V16-V13-V11-V10-V9-V8-V7-V5-V4</f>
        <v>25765787</v>
      </c>
      <c r="W15" s="21">
        <v>1318229</v>
      </c>
      <c r="X15" s="38">
        <f>165134+34420</f>
        <v>199554</v>
      </c>
      <c r="Y15" s="21">
        <f>32851+7044</f>
        <v>39895</v>
      </c>
      <c r="Z15" s="21">
        <f>Z16-Z11-Z9-Z8-Z7-Z5-Z4</f>
        <v>2744911</v>
      </c>
      <c r="AA15" s="21">
        <f>AA16-AA11-AA9-AA8-AA5-AA4</f>
        <v>197739</v>
      </c>
      <c r="AB15" s="21">
        <f>AB16-AB13-AB11-AB10-AB9-AB8-AB7-AB5-AB4</f>
        <v>657342</v>
      </c>
      <c r="AC15" s="21">
        <f>37562+118850</f>
        <v>156412</v>
      </c>
      <c r="AD15" s="21">
        <f>AD16-AD13-AD11-AD10-AD9-AD8-AD7-AD5-AD4</f>
        <v>405605</v>
      </c>
      <c r="AE15" s="21">
        <v>2321207</v>
      </c>
      <c r="AF15" s="21">
        <f>AF16-AF13-AF11-AF9-AF8-AF7-AF5-AF4</f>
        <v>2740360</v>
      </c>
      <c r="AG15" s="21">
        <v>506260</v>
      </c>
      <c r="AH15">
        <v>1330</v>
      </c>
      <c r="AI15" s="21">
        <f>AI16-AI14-AI11-AI9-AI8-AI7-AI5-AI4</f>
        <v>233891</v>
      </c>
      <c r="AJ15" s="21">
        <f t="shared" si="0"/>
        <v>68127977.769999996</v>
      </c>
    </row>
    <row r="16" spans="1:36" s="15" customFormat="1" x14ac:dyDescent="0.25">
      <c r="A16" s="23" t="s">
        <v>61</v>
      </c>
      <c r="B16" s="24">
        <v>1003799</v>
      </c>
      <c r="C16" s="24">
        <v>2096740</v>
      </c>
      <c r="D16" s="24">
        <v>74041038</v>
      </c>
      <c r="E16" s="24">
        <v>5119388</v>
      </c>
      <c r="F16" s="24">
        <v>100765221</v>
      </c>
      <c r="G16" s="24">
        <v>31337633</v>
      </c>
      <c r="H16" s="24">
        <v>52592609</v>
      </c>
      <c r="I16" s="24">
        <v>1662277</v>
      </c>
      <c r="J16" s="24">
        <v>757961</v>
      </c>
      <c r="K16" s="24">
        <v>863024</v>
      </c>
      <c r="L16" s="24">
        <v>62964935.899999999</v>
      </c>
      <c r="M16" s="24">
        <v>26984580</v>
      </c>
      <c r="N16" s="24">
        <v>7502167</v>
      </c>
      <c r="O16" s="24">
        <v>63751506</v>
      </c>
      <c r="P16" s="24">
        <v>216228356</v>
      </c>
      <c r="Q16" s="24">
        <v>57787711</v>
      </c>
      <c r="R16" s="24">
        <v>1924213</v>
      </c>
      <c r="S16" s="24">
        <v>9844198</v>
      </c>
      <c r="T16" s="24">
        <v>11120140</v>
      </c>
      <c r="U16" s="24">
        <v>3659108</v>
      </c>
      <c r="V16" s="24">
        <v>236506117</v>
      </c>
      <c r="W16" s="24">
        <v>297877494</v>
      </c>
      <c r="X16" s="24">
        <v>160822835</v>
      </c>
      <c r="Y16" s="24">
        <v>1741173</v>
      </c>
      <c r="Z16" s="24">
        <v>74530797</v>
      </c>
      <c r="AA16" s="24">
        <v>242356</v>
      </c>
      <c r="AB16" s="24">
        <v>5436588</v>
      </c>
      <c r="AC16" s="24">
        <v>34049973</v>
      </c>
      <c r="AD16" s="24">
        <v>38259378</v>
      </c>
      <c r="AE16" s="24">
        <v>62976693</v>
      </c>
      <c r="AF16" s="24">
        <v>9134756</v>
      </c>
      <c r="AG16" s="24">
        <v>74675558</v>
      </c>
      <c r="AH16" s="24">
        <v>227850437</v>
      </c>
      <c r="AI16" s="24">
        <v>19388123</v>
      </c>
      <c r="AJ16" s="24">
        <f t="shared" si="0"/>
        <v>1975498882.9000001</v>
      </c>
    </row>
    <row r="17" spans="21:30" x14ac:dyDescent="0.25">
      <c r="U17" s="15"/>
      <c r="AB17" s="15"/>
      <c r="AD17" s="15"/>
    </row>
  </sheetData>
  <pageMargins left="0.7" right="0.7" top="0.75" bottom="0.75" header="0.3" footer="0.3"/>
  <pageSetup paperSize="9" orientation="portrait" r:id="rId1"/>
  <ignoredErrors>
    <ignoredError sqref="Q15 AC1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45.140625" style="77" customWidth="1"/>
    <col min="2" max="2" width="12.7109375" style="91" customWidth="1"/>
    <col min="3" max="5" width="12.7109375" style="77" customWidth="1"/>
    <col min="6" max="6" width="12.7109375" style="81" customWidth="1"/>
    <col min="7" max="7" width="12.7109375" style="91" customWidth="1"/>
    <col min="8" max="11" width="12.7109375" style="77" customWidth="1"/>
    <col min="12" max="12" width="12.7109375" style="91" customWidth="1"/>
    <col min="13" max="16" width="12.7109375" style="77" customWidth="1"/>
    <col min="17" max="17" width="12.7109375" style="91" customWidth="1"/>
    <col min="18" max="19" width="12.7109375" style="4" customWidth="1"/>
    <col min="20" max="20" width="12.7109375" style="77" customWidth="1"/>
    <col min="21" max="21" width="12.7109375" style="82" customWidth="1"/>
    <col min="22" max="22" width="12.7109375" style="91" customWidth="1"/>
    <col min="23" max="25" width="12.7109375" style="4" customWidth="1"/>
    <col min="26" max="26" width="12.7109375" style="77" customWidth="1"/>
    <col min="27" max="27" width="12.7109375" style="91" customWidth="1"/>
    <col min="28" max="28" width="13.85546875" style="4" bestFit="1" customWidth="1"/>
    <col min="29" max="30" width="12.7109375" style="4" customWidth="1"/>
    <col min="31" max="36" width="12.7109375" style="77" customWidth="1"/>
    <col min="37" max="37" width="12.7109375" style="94" customWidth="1"/>
    <col min="38" max="41" width="12.7109375" style="77" customWidth="1"/>
    <col min="42" max="42" width="12.7109375" style="91" customWidth="1"/>
    <col min="43" max="46" width="12.7109375" style="77" customWidth="1"/>
    <col min="47" max="47" width="12.7109375" style="4" customWidth="1"/>
    <col min="48" max="51" width="12.7109375" style="77" customWidth="1"/>
    <col min="52" max="52" width="12.7109375" style="91" customWidth="1"/>
    <col min="53" max="56" width="12.7109375" style="77" customWidth="1"/>
    <col min="57" max="57" width="12.7109375" style="91" customWidth="1"/>
    <col min="58" max="61" width="12.7109375" style="77" customWidth="1"/>
    <col min="62" max="62" width="12.7109375" style="91" customWidth="1"/>
    <col min="63" max="65" width="12.7109375" style="4" customWidth="1"/>
    <col min="66" max="66" width="12.7109375" style="77" customWidth="1"/>
    <col min="67" max="67" width="12.7109375" style="94" customWidth="1"/>
    <col min="68" max="71" width="12.7109375" style="77" customWidth="1"/>
    <col min="72" max="72" width="12.7109375" style="91" customWidth="1"/>
    <col min="73" max="75" width="12.7109375" style="4" customWidth="1"/>
    <col min="76" max="76" width="12.7109375" style="77" customWidth="1"/>
    <col min="77" max="77" width="12.7109375" style="91" customWidth="1"/>
    <col min="78" max="80" width="12.7109375" style="4" customWidth="1"/>
    <col min="81" max="81" width="12.7109375" style="77" customWidth="1"/>
    <col min="82" max="82" width="12.7109375" style="91" customWidth="1"/>
    <col min="83" max="85" width="12.7109375" style="4" customWidth="1"/>
    <col min="86" max="86" width="12.7109375" style="77" customWidth="1"/>
    <col min="87" max="87" width="12.7109375" style="91" customWidth="1"/>
    <col min="88" max="90" width="12.7109375" style="4" customWidth="1"/>
    <col min="91" max="91" width="12.7109375" style="77" customWidth="1"/>
    <col min="92" max="92" width="12.7109375" style="91" customWidth="1"/>
    <col min="93" max="95" width="12.7109375" style="4" customWidth="1"/>
    <col min="96" max="96" width="12.7109375" style="77" customWidth="1"/>
    <col min="97" max="97" width="12.7109375" style="91" customWidth="1"/>
    <col min="98" max="100" width="12.7109375" style="4" customWidth="1"/>
    <col min="101" max="101" width="12.7109375" style="82" customWidth="1"/>
    <col min="102" max="106" width="12.7109375" style="77" customWidth="1"/>
    <col min="107" max="107" width="12.7109375" style="91" customWidth="1"/>
    <col min="108" max="112" width="12.7109375" style="77" customWidth="1"/>
    <col min="113" max="115" width="12.7109375" style="4" customWidth="1"/>
    <col min="116" max="116" width="12.7109375" style="77" customWidth="1"/>
    <col min="117" max="117" width="12.7109375" style="91" customWidth="1"/>
    <col min="118" max="121" width="12.7109375" style="77" customWidth="1"/>
    <col min="122" max="122" width="12.7109375" style="94" customWidth="1"/>
    <col min="123" max="131" width="12.7109375" style="77" customWidth="1"/>
    <col min="132" max="132" width="12.7109375" style="94" customWidth="1"/>
    <col min="133" max="136" width="12.7109375" style="77" customWidth="1"/>
    <col min="137" max="137" width="12.7109375" style="91" customWidth="1"/>
    <col min="138" max="140" width="12.7109375" style="4" customWidth="1"/>
    <col min="141" max="141" width="12.7109375" style="77" customWidth="1"/>
    <col min="142" max="142" width="12.7109375" style="91" customWidth="1"/>
    <col min="143" max="146" width="12.7109375" style="77" customWidth="1"/>
    <col min="147" max="147" width="12.7109375" style="91" customWidth="1"/>
    <col min="148" max="151" width="12.7109375" style="77" customWidth="1"/>
    <col min="152" max="152" width="12.7109375" style="91" customWidth="1"/>
    <col min="153" max="156" width="12.7109375" style="77" customWidth="1"/>
    <col min="157" max="157" width="12.7109375" style="94" customWidth="1"/>
    <col min="158" max="161" width="12.7109375" style="77" customWidth="1"/>
    <col min="162" max="165" width="12.7109375" style="4" customWidth="1"/>
    <col min="166" max="166" width="12.7109375" style="77" customWidth="1"/>
    <col min="167" max="167" width="12.7109375" style="91" customWidth="1"/>
    <col min="168" max="170" width="12.7109375" style="4" customWidth="1"/>
    <col min="171" max="171" width="12.7109375" style="77" customWidth="1"/>
    <col min="172" max="16384" width="9.140625" style="77"/>
  </cols>
  <sheetData>
    <row r="1" spans="1:171" ht="18.75" x14ac:dyDescent="0.3">
      <c r="A1" s="76" t="s">
        <v>337</v>
      </c>
      <c r="CH1" s="82"/>
    </row>
    <row r="2" spans="1:171" x14ac:dyDescent="0.25">
      <c r="A2" s="77" t="s">
        <v>265</v>
      </c>
    </row>
    <row r="3" spans="1:171" s="79" customFormat="1" x14ac:dyDescent="0.25">
      <c r="A3" s="78"/>
      <c r="B3" s="207" t="s">
        <v>1</v>
      </c>
      <c r="C3" s="207"/>
      <c r="D3" s="207"/>
      <c r="E3" s="207"/>
      <c r="F3" s="207"/>
      <c r="G3" s="207" t="s">
        <v>2</v>
      </c>
      <c r="H3" s="207"/>
      <c r="I3" s="207"/>
      <c r="J3" s="207"/>
      <c r="K3" s="207"/>
      <c r="L3" s="207" t="s">
        <v>3</v>
      </c>
      <c r="M3" s="207"/>
      <c r="N3" s="207"/>
      <c r="O3" s="207"/>
      <c r="P3" s="207"/>
      <c r="Q3" s="207" t="s">
        <v>4</v>
      </c>
      <c r="R3" s="207"/>
      <c r="S3" s="207"/>
      <c r="T3" s="207"/>
      <c r="U3" s="207"/>
      <c r="V3" s="207" t="s">
        <v>5</v>
      </c>
      <c r="W3" s="207"/>
      <c r="X3" s="207"/>
      <c r="Y3" s="207"/>
      <c r="Z3" s="207"/>
      <c r="AA3" s="207" t="s">
        <v>6</v>
      </c>
      <c r="AB3" s="207"/>
      <c r="AC3" s="207"/>
      <c r="AD3" s="207"/>
      <c r="AE3" s="207"/>
      <c r="AF3" s="207" t="s">
        <v>7</v>
      </c>
      <c r="AG3" s="207"/>
      <c r="AH3" s="207"/>
      <c r="AI3" s="207"/>
      <c r="AJ3" s="207"/>
      <c r="AK3" s="207" t="s">
        <v>8</v>
      </c>
      <c r="AL3" s="207"/>
      <c r="AM3" s="207"/>
      <c r="AN3" s="207"/>
      <c r="AO3" s="207"/>
      <c r="AP3" s="207" t="s">
        <v>9</v>
      </c>
      <c r="AQ3" s="207"/>
      <c r="AR3" s="207"/>
      <c r="AS3" s="207"/>
      <c r="AT3" s="207"/>
      <c r="AU3" s="207" t="s">
        <v>10</v>
      </c>
      <c r="AV3" s="207"/>
      <c r="AW3" s="207"/>
      <c r="AX3" s="207"/>
      <c r="AY3" s="207"/>
      <c r="AZ3" s="207" t="s">
        <v>11</v>
      </c>
      <c r="BA3" s="207"/>
      <c r="BB3" s="207"/>
      <c r="BC3" s="207"/>
      <c r="BD3" s="207"/>
      <c r="BE3" s="207" t="s">
        <v>12</v>
      </c>
      <c r="BF3" s="207"/>
      <c r="BG3" s="207"/>
      <c r="BH3" s="207"/>
      <c r="BI3" s="207"/>
      <c r="BJ3" s="207" t="s">
        <v>13</v>
      </c>
      <c r="BK3" s="207"/>
      <c r="BL3" s="207"/>
      <c r="BM3" s="207"/>
      <c r="BN3" s="207"/>
      <c r="BO3" s="207" t="s">
        <v>14</v>
      </c>
      <c r="BP3" s="207"/>
      <c r="BQ3" s="207"/>
      <c r="BR3" s="207"/>
      <c r="BS3" s="207"/>
      <c r="BT3" s="207" t="s">
        <v>15</v>
      </c>
      <c r="BU3" s="207"/>
      <c r="BV3" s="207"/>
      <c r="BW3" s="207"/>
      <c r="BX3" s="207"/>
      <c r="BY3" s="207" t="s">
        <v>16</v>
      </c>
      <c r="BZ3" s="207"/>
      <c r="CA3" s="207"/>
      <c r="CB3" s="207"/>
      <c r="CC3" s="207"/>
      <c r="CD3" s="207" t="s">
        <v>17</v>
      </c>
      <c r="CE3" s="207"/>
      <c r="CF3" s="207"/>
      <c r="CG3" s="207"/>
      <c r="CH3" s="207"/>
      <c r="CI3" s="207" t="s">
        <v>18</v>
      </c>
      <c r="CJ3" s="207"/>
      <c r="CK3" s="207"/>
      <c r="CL3" s="207"/>
      <c r="CM3" s="207"/>
      <c r="CN3" s="207" t="s">
        <v>19</v>
      </c>
      <c r="CO3" s="207"/>
      <c r="CP3" s="207"/>
      <c r="CQ3" s="207"/>
      <c r="CR3" s="207"/>
      <c r="CS3" s="207" t="s">
        <v>20</v>
      </c>
      <c r="CT3" s="207"/>
      <c r="CU3" s="207"/>
      <c r="CV3" s="207"/>
      <c r="CW3" s="207"/>
      <c r="CX3" s="207" t="s">
        <v>21</v>
      </c>
      <c r="CY3" s="207"/>
      <c r="CZ3" s="207"/>
      <c r="DA3" s="207"/>
      <c r="DB3" s="207"/>
      <c r="DC3" s="207" t="s">
        <v>147</v>
      </c>
      <c r="DD3" s="207"/>
      <c r="DE3" s="207"/>
      <c r="DF3" s="207"/>
      <c r="DG3" s="207"/>
      <c r="DH3" s="207" t="s">
        <v>148</v>
      </c>
      <c r="DI3" s="207"/>
      <c r="DJ3" s="207"/>
      <c r="DK3" s="207"/>
      <c r="DL3" s="207"/>
      <c r="DM3" s="207" t="s">
        <v>22</v>
      </c>
      <c r="DN3" s="207"/>
      <c r="DO3" s="207"/>
      <c r="DP3" s="207"/>
      <c r="DQ3" s="207"/>
      <c r="DR3" s="207" t="s">
        <v>23</v>
      </c>
      <c r="DS3" s="207"/>
      <c r="DT3" s="207"/>
      <c r="DU3" s="207"/>
      <c r="DV3" s="207"/>
      <c r="DW3" s="207" t="s">
        <v>332</v>
      </c>
      <c r="DX3" s="207"/>
      <c r="DY3" s="207"/>
      <c r="DZ3" s="207"/>
      <c r="EA3" s="207"/>
      <c r="EB3" s="207" t="s">
        <v>24</v>
      </c>
      <c r="EC3" s="207"/>
      <c r="ED3" s="207"/>
      <c r="EE3" s="207"/>
      <c r="EF3" s="207"/>
      <c r="EG3" s="207" t="s">
        <v>25</v>
      </c>
      <c r="EH3" s="207"/>
      <c r="EI3" s="207"/>
      <c r="EJ3" s="207"/>
      <c r="EK3" s="207"/>
      <c r="EL3" s="207" t="s">
        <v>26</v>
      </c>
      <c r="EM3" s="207"/>
      <c r="EN3" s="207"/>
      <c r="EO3" s="207"/>
      <c r="EP3" s="207"/>
      <c r="EQ3" s="207" t="s">
        <v>27</v>
      </c>
      <c r="ER3" s="207"/>
      <c r="ES3" s="207"/>
      <c r="ET3" s="207"/>
      <c r="EU3" s="207"/>
      <c r="EV3" s="207" t="s">
        <v>28</v>
      </c>
      <c r="EW3" s="207"/>
      <c r="EX3" s="207"/>
      <c r="EY3" s="207"/>
      <c r="EZ3" s="207"/>
      <c r="FA3" s="207" t="s">
        <v>29</v>
      </c>
      <c r="FB3" s="207"/>
      <c r="FC3" s="207"/>
      <c r="FD3" s="207"/>
      <c r="FE3" s="207"/>
      <c r="FF3" s="207" t="s">
        <v>30</v>
      </c>
      <c r="FG3" s="207"/>
      <c r="FH3" s="207"/>
      <c r="FI3" s="207"/>
      <c r="FJ3" s="207"/>
      <c r="FK3" s="207" t="s">
        <v>31</v>
      </c>
      <c r="FL3" s="207"/>
      <c r="FM3" s="207"/>
      <c r="FN3" s="207"/>
      <c r="FO3" s="207"/>
    </row>
    <row r="4" spans="1:171" s="80" customFormat="1" ht="15" customHeight="1" x14ac:dyDescent="0.25">
      <c r="A4" s="210" t="s">
        <v>296</v>
      </c>
      <c r="B4" s="208" t="s">
        <v>303</v>
      </c>
      <c r="C4" s="210" t="s">
        <v>304</v>
      </c>
      <c r="D4" s="210"/>
      <c r="E4" s="210"/>
      <c r="F4" s="211" t="s">
        <v>308</v>
      </c>
      <c r="G4" s="208" t="s">
        <v>303</v>
      </c>
      <c r="H4" s="210" t="s">
        <v>304</v>
      </c>
      <c r="I4" s="210"/>
      <c r="J4" s="210"/>
      <c r="K4" s="210" t="s">
        <v>308</v>
      </c>
      <c r="L4" s="208" t="s">
        <v>303</v>
      </c>
      <c r="M4" s="210" t="s">
        <v>304</v>
      </c>
      <c r="N4" s="210"/>
      <c r="O4" s="210"/>
      <c r="P4" s="210" t="s">
        <v>308</v>
      </c>
      <c r="Q4" s="208" t="s">
        <v>303</v>
      </c>
      <c r="R4" s="210" t="s">
        <v>304</v>
      </c>
      <c r="S4" s="210"/>
      <c r="T4" s="210"/>
      <c r="U4" s="209" t="s">
        <v>308</v>
      </c>
      <c r="V4" s="208" t="s">
        <v>303</v>
      </c>
      <c r="W4" s="208" t="s">
        <v>304</v>
      </c>
      <c r="X4" s="208"/>
      <c r="Y4" s="208"/>
      <c r="Z4" s="210" t="s">
        <v>308</v>
      </c>
      <c r="AA4" s="208" t="s">
        <v>303</v>
      </c>
      <c r="AB4" s="208" t="s">
        <v>304</v>
      </c>
      <c r="AC4" s="208"/>
      <c r="AD4" s="208"/>
      <c r="AE4" s="210" t="s">
        <v>308</v>
      </c>
      <c r="AF4" s="208" t="s">
        <v>303</v>
      </c>
      <c r="AG4" s="208" t="s">
        <v>304</v>
      </c>
      <c r="AH4" s="208"/>
      <c r="AI4" s="208"/>
      <c r="AJ4" s="210" t="s">
        <v>308</v>
      </c>
      <c r="AK4" s="208" t="s">
        <v>303</v>
      </c>
      <c r="AL4" s="208" t="s">
        <v>304</v>
      </c>
      <c r="AM4" s="208"/>
      <c r="AN4" s="208"/>
      <c r="AO4" s="210" t="s">
        <v>308</v>
      </c>
      <c r="AP4" s="208" t="s">
        <v>303</v>
      </c>
      <c r="AQ4" s="208" t="s">
        <v>304</v>
      </c>
      <c r="AR4" s="208"/>
      <c r="AS4" s="208"/>
      <c r="AT4" s="210" t="s">
        <v>308</v>
      </c>
      <c r="AU4" s="208" t="s">
        <v>303</v>
      </c>
      <c r="AV4" s="208" t="s">
        <v>304</v>
      </c>
      <c r="AW4" s="208"/>
      <c r="AX4" s="208"/>
      <c r="AY4" s="210" t="s">
        <v>308</v>
      </c>
      <c r="AZ4" s="208" t="s">
        <v>303</v>
      </c>
      <c r="BA4" s="208" t="s">
        <v>304</v>
      </c>
      <c r="BB4" s="208"/>
      <c r="BC4" s="208"/>
      <c r="BD4" s="210" t="s">
        <v>308</v>
      </c>
      <c r="BE4" s="208" t="s">
        <v>303</v>
      </c>
      <c r="BF4" s="208" t="s">
        <v>304</v>
      </c>
      <c r="BG4" s="208"/>
      <c r="BH4" s="208"/>
      <c r="BI4" s="210" t="s">
        <v>308</v>
      </c>
      <c r="BJ4" s="208" t="s">
        <v>303</v>
      </c>
      <c r="BK4" s="208" t="s">
        <v>304</v>
      </c>
      <c r="BL4" s="208"/>
      <c r="BM4" s="208"/>
      <c r="BN4" s="210" t="s">
        <v>308</v>
      </c>
      <c r="BO4" s="208" t="s">
        <v>303</v>
      </c>
      <c r="BP4" s="208" t="s">
        <v>304</v>
      </c>
      <c r="BQ4" s="208"/>
      <c r="BR4" s="208"/>
      <c r="BS4" s="210" t="s">
        <v>308</v>
      </c>
      <c r="BT4" s="208" t="s">
        <v>303</v>
      </c>
      <c r="BU4" s="208" t="s">
        <v>304</v>
      </c>
      <c r="BV4" s="208"/>
      <c r="BW4" s="208"/>
      <c r="BX4" s="210" t="s">
        <v>308</v>
      </c>
      <c r="BY4" s="208" t="s">
        <v>303</v>
      </c>
      <c r="BZ4" s="208" t="s">
        <v>304</v>
      </c>
      <c r="CA4" s="208"/>
      <c r="CB4" s="208"/>
      <c r="CC4" s="210" t="s">
        <v>308</v>
      </c>
      <c r="CD4" s="208" t="s">
        <v>303</v>
      </c>
      <c r="CE4" s="208" t="s">
        <v>304</v>
      </c>
      <c r="CF4" s="208"/>
      <c r="CG4" s="208"/>
      <c r="CH4" s="210" t="s">
        <v>308</v>
      </c>
      <c r="CI4" s="208" t="s">
        <v>303</v>
      </c>
      <c r="CJ4" s="208" t="s">
        <v>304</v>
      </c>
      <c r="CK4" s="208"/>
      <c r="CL4" s="208"/>
      <c r="CM4" s="210" t="s">
        <v>308</v>
      </c>
      <c r="CN4" s="208" t="s">
        <v>303</v>
      </c>
      <c r="CO4" s="208" t="s">
        <v>304</v>
      </c>
      <c r="CP4" s="208"/>
      <c r="CQ4" s="208"/>
      <c r="CR4" s="210" t="s">
        <v>308</v>
      </c>
      <c r="CS4" s="208" t="s">
        <v>303</v>
      </c>
      <c r="CT4" s="208" t="s">
        <v>304</v>
      </c>
      <c r="CU4" s="208"/>
      <c r="CV4" s="208"/>
      <c r="CW4" s="209" t="s">
        <v>308</v>
      </c>
      <c r="CX4" s="208" t="s">
        <v>303</v>
      </c>
      <c r="CY4" s="208" t="s">
        <v>304</v>
      </c>
      <c r="CZ4" s="208"/>
      <c r="DA4" s="208"/>
      <c r="DB4" s="209" t="s">
        <v>308</v>
      </c>
      <c r="DC4" s="208" t="s">
        <v>303</v>
      </c>
      <c r="DD4" s="208" t="s">
        <v>304</v>
      </c>
      <c r="DE4" s="208"/>
      <c r="DF4" s="208"/>
      <c r="DG4" s="209" t="s">
        <v>308</v>
      </c>
      <c r="DH4" s="208" t="s">
        <v>303</v>
      </c>
      <c r="DI4" s="208" t="s">
        <v>304</v>
      </c>
      <c r="DJ4" s="208"/>
      <c r="DK4" s="208"/>
      <c r="DL4" s="209" t="s">
        <v>308</v>
      </c>
      <c r="DM4" s="208" t="s">
        <v>303</v>
      </c>
      <c r="DN4" s="208" t="s">
        <v>304</v>
      </c>
      <c r="DO4" s="208"/>
      <c r="DP4" s="208"/>
      <c r="DQ4" s="209" t="s">
        <v>308</v>
      </c>
      <c r="DR4" s="208" t="s">
        <v>303</v>
      </c>
      <c r="DS4" s="208" t="s">
        <v>304</v>
      </c>
      <c r="DT4" s="208"/>
      <c r="DU4" s="208"/>
      <c r="DV4" s="209" t="s">
        <v>308</v>
      </c>
      <c r="DW4" s="208" t="s">
        <v>303</v>
      </c>
      <c r="DX4" s="208" t="s">
        <v>304</v>
      </c>
      <c r="DY4" s="208"/>
      <c r="DZ4" s="208"/>
      <c r="EA4" s="209" t="s">
        <v>308</v>
      </c>
      <c r="EB4" s="208" t="s">
        <v>303</v>
      </c>
      <c r="EC4" s="208" t="s">
        <v>304</v>
      </c>
      <c r="ED4" s="208"/>
      <c r="EE4" s="208"/>
      <c r="EF4" s="209" t="s">
        <v>308</v>
      </c>
      <c r="EG4" s="208" t="s">
        <v>303</v>
      </c>
      <c r="EH4" s="208" t="s">
        <v>304</v>
      </c>
      <c r="EI4" s="208"/>
      <c r="EJ4" s="208"/>
      <c r="EK4" s="209" t="s">
        <v>308</v>
      </c>
      <c r="EL4" s="208" t="s">
        <v>303</v>
      </c>
      <c r="EM4" s="208" t="s">
        <v>304</v>
      </c>
      <c r="EN4" s="208"/>
      <c r="EO4" s="208"/>
      <c r="EP4" s="209" t="s">
        <v>308</v>
      </c>
      <c r="EQ4" s="208" t="s">
        <v>303</v>
      </c>
      <c r="ER4" s="208" t="s">
        <v>304</v>
      </c>
      <c r="ES4" s="208"/>
      <c r="ET4" s="208"/>
      <c r="EU4" s="209" t="s">
        <v>308</v>
      </c>
      <c r="EV4" s="208" t="s">
        <v>303</v>
      </c>
      <c r="EW4" s="208" t="s">
        <v>304</v>
      </c>
      <c r="EX4" s="208"/>
      <c r="EY4" s="208"/>
      <c r="EZ4" s="209" t="s">
        <v>308</v>
      </c>
      <c r="FA4" s="208" t="s">
        <v>303</v>
      </c>
      <c r="FB4" s="208" t="s">
        <v>304</v>
      </c>
      <c r="FC4" s="208"/>
      <c r="FD4" s="208"/>
      <c r="FE4" s="209" t="s">
        <v>308</v>
      </c>
      <c r="FF4" s="208" t="s">
        <v>303</v>
      </c>
      <c r="FG4" s="208" t="s">
        <v>304</v>
      </c>
      <c r="FH4" s="208"/>
      <c r="FI4" s="208"/>
      <c r="FJ4" s="209" t="s">
        <v>308</v>
      </c>
      <c r="FK4" s="208" t="s">
        <v>303</v>
      </c>
      <c r="FL4" s="208" t="s">
        <v>304</v>
      </c>
      <c r="FM4" s="208"/>
      <c r="FN4" s="208"/>
      <c r="FO4" s="209" t="s">
        <v>308</v>
      </c>
    </row>
    <row r="5" spans="1:171" s="80" customFormat="1" ht="90.75" customHeight="1" x14ac:dyDescent="0.25">
      <c r="A5" s="210"/>
      <c r="B5" s="208"/>
      <c r="C5" s="83" t="s">
        <v>305</v>
      </c>
      <c r="D5" s="83" t="s">
        <v>306</v>
      </c>
      <c r="E5" s="83" t="s">
        <v>307</v>
      </c>
      <c r="F5" s="211"/>
      <c r="G5" s="208"/>
      <c r="H5" s="83" t="s">
        <v>305</v>
      </c>
      <c r="I5" s="83" t="s">
        <v>306</v>
      </c>
      <c r="J5" s="83" t="s">
        <v>307</v>
      </c>
      <c r="K5" s="210"/>
      <c r="L5" s="208"/>
      <c r="M5" s="83" t="s">
        <v>305</v>
      </c>
      <c r="N5" s="83" t="s">
        <v>306</v>
      </c>
      <c r="O5" s="83" t="s">
        <v>307</v>
      </c>
      <c r="P5" s="210"/>
      <c r="Q5" s="208"/>
      <c r="R5" s="43" t="s">
        <v>305</v>
      </c>
      <c r="S5" s="43" t="s">
        <v>306</v>
      </c>
      <c r="T5" s="83" t="s">
        <v>307</v>
      </c>
      <c r="U5" s="209"/>
      <c r="V5" s="208"/>
      <c r="W5" s="43" t="s">
        <v>305</v>
      </c>
      <c r="X5" s="43" t="s">
        <v>306</v>
      </c>
      <c r="Y5" s="43" t="s">
        <v>307</v>
      </c>
      <c r="Z5" s="210"/>
      <c r="AA5" s="208"/>
      <c r="AB5" s="43" t="s">
        <v>305</v>
      </c>
      <c r="AC5" s="43" t="s">
        <v>306</v>
      </c>
      <c r="AD5" s="43" t="s">
        <v>307</v>
      </c>
      <c r="AE5" s="210"/>
      <c r="AF5" s="208"/>
      <c r="AG5" s="43" t="s">
        <v>305</v>
      </c>
      <c r="AH5" s="43" t="s">
        <v>306</v>
      </c>
      <c r="AI5" s="43" t="s">
        <v>307</v>
      </c>
      <c r="AJ5" s="210"/>
      <c r="AK5" s="208"/>
      <c r="AL5" s="43" t="s">
        <v>305</v>
      </c>
      <c r="AM5" s="43" t="s">
        <v>306</v>
      </c>
      <c r="AN5" s="43" t="s">
        <v>307</v>
      </c>
      <c r="AO5" s="210"/>
      <c r="AP5" s="208"/>
      <c r="AQ5" s="43" t="s">
        <v>305</v>
      </c>
      <c r="AR5" s="43" t="s">
        <v>306</v>
      </c>
      <c r="AS5" s="43" t="s">
        <v>307</v>
      </c>
      <c r="AT5" s="210"/>
      <c r="AU5" s="208"/>
      <c r="AV5" s="43" t="s">
        <v>305</v>
      </c>
      <c r="AW5" s="43" t="s">
        <v>306</v>
      </c>
      <c r="AX5" s="43" t="s">
        <v>307</v>
      </c>
      <c r="AY5" s="210"/>
      <c r="AZ5" s="208"/>
      <c r="BA5" s="43" t="s">
        <v>305</v>
      </c>
      <c r="BB5" s="43" t="s">
        <v>306</v>
      </c>
      <c r="BC5" s="43" t="s">
        <v>307</v>
      </c>
      <c r="BD5" s="210"/>
      <c r="BE5" s="208"/>
      <c r="BF5" s="43" t="s">
        <v>305</v>
      </c>
      <c r="BG5" s="43" t="s">
        <v>306</v>
      </c>
      <c r="BH5" s="43" t="s">
        <v>307</v>
      </c>
      <c r="BI5" s="210"/>
      <c r="BJ5" s="208"/>
      <c r="BK5" s="43" t="s">
        <v>305</v>
      </c>
      <c r="BL5" s="43" t="s">
        <v>306</v>
      </c>
      <c r="BM5" s="43" t="s">
        <v>307</v>
      </c>
      <c r="BN5" s="210"/>
      <c r="BO5" s="208"/>
      <c r="BP5" s="43" t="s">
        <v>305</v>
      </c>
      <c r="BQ5" s="43" t="s">
        <v>306</v>
      </c>
      <c r="BR5" s="43" t="s">
        <v>307</v>
      </c>
      <c r="BS5" s="210"/>
      <c r="BT5" s="208"/>
      <c r="BU5" s="43" t="s">
        <v>305</v>
      </c>
      <c r="BV5" s="43" t="s">
        <v>306</v>
      </c>
      <c r="BW5" s="43" t="s">
        <v>307</v>
      </c>
      <c r="BX5" s="210"/>
      <c r="BY5" s="208"/>
      <c r="BZ5" s="43" t="s">
        <v>305</v>
      </c>
      <c r="CA5" s="43" t="s">
        <v>306</v>
      </c>
      <c r="CB5" s="43" t="s">
        <v>307</v>
      </c>
      <c r="CC5" s="210"/>
      <c r="CD5" s="208"/>
      <c r="CE5" s="43" t="s">
        <v>305</v>
      </c>
      <c r="CF5" s="43" t="s">
        <v>306</v>
      </c>
      <c r="CG5" s="43" t="s">
        <v>307</v>
      </c>
      <c r="CH5" s="210"/>
      <c r="CI5" s="208"/>
      <c r="CJ5" s="43" t="s">
        <v>305</v>
      </c>
      <c r="CK5" s="43" t="s">
        <v>306</v>
      </c>
      <c r="CL5" s="43" t="s">
        <v>307</v>
      </c>
      <c r="CM5" s="210"/>
      <c r="CN5" s="208"/>
      <c r="CO5" s="43" t="s">
        <v>305</v>
      </c>
      <c r="CP5" s="43" t="s">
        <v>306</v>
      </c>
      <c r="CQ5" s="43" t="s">
        <v>307</v>
      </c>
      <c r="CR5" s="210"/>
      <c r="CS5" s="208"/>
      <c r="CT5" s="43" t="s">
        <v>305</v>
      </c>
      <c r="CU5" s="43" t="s">
        <v>306</v>
      </c>
      <c r="CV5" s="43" t="s">
        <v>307</v>
      </c>
      <c r="CW5" s="209"/>
      <c r="CX5" s="208"/>
      <c r="CY5" s="43" t="s">
        <v>305</v>
      </c>
      <c r="CZ5" s="43" t="s">
        <v>306</v>
      </c>
      <c r="DA5" s="43" t="s">
        <v>307</v>
      </c>
      <c r="DB5" s="209"/>
      <c r="DC5" s="208"/>
      <c r="DD5" s="43" t="s">
        <v>305</v>
      </c>
      <c r="DE5" s="43" t="s">
        <v>306</v>
      </c>
      <c r="DF5" s="43" t="s">
        <v>307</v>
      </c>
      <c r="DG5" s="209"/>
      <c r="DH5" s="208"/>
      <c r="DI5" s="43" t="s">
        <v>305</v>
      </c>
      <c r="DJ5" s="43" t="s">
        <v>306</v>
      </c>
      <c r="DK5" s="43" t="s">
        <v>307</v>
      </c>
      <c r="DL5" s="209"/>
      <c r="DM5" s="208"/>
      <c r="DN5" s="43" t="s">
        <v>305</v>
      </c>
      <c r="DO5" s="43" t="s">
        <v>306</v>
      </c>
      <c r="DP5" s="43" t="s">
        <v>307</v>
      </c>
      <c r="DQ5" s="209"/>
      <c r="DR5" s="208"/>
      <c r="DS5" s="43" t="s">
        <v>305</v>
      </c>
      <c r="DT5" s="43" t="s">
        <v>306</v>
      </c>
      <c r="DU5" s="43" t="s">
        <v>307</v>
      </c>
      <c r="DV5" s="209"/>
      <c r="DW5" s="208"/>
      <c r="DX5" s="43" t="s">
        <v>305</v>
      </c>
      <c r="DY5" s="43" t="s">
        <v>306</v>
      </c>
      <c r="DZ5" s="43" t="s">
        <v>307</v>
      </c>
      <c r="EA5" s="209"/>
      <c r="EB5" s="208"/>
      <c r="EC5" s="43" t="s">
        <v>305</v>
      </c>
      <c r="ED5" s="43" t="s">
        <v>306</v>
      </c>
      <c r="EE5" s="43" t="s">
        <v>307</v>
      </c>
      <c r="EF5" s="209"/>
      <c r="EG5" s="208"/>
      <c r="EH5" s="43" t="s">
        <v>305</v>
      </c>
      <c r="EI5" s="43" t="s">
        <v>306</v>
      </c>
      <c r="EJ5" s="43" t="s">
        <v>307</v>
      </c>
      <c r="EK5" s="209"/>
      <c r="EL5" s="208"/>
      <c r="EM5" s="43" t="s">
        <v>305</v>
      </c>
      <c r="EN5" s="43" t="s">
        <v>306</v>
      </c>
      <c r="EO5" s="43" t="s">
        <v>307</v>
      </c>
      <c r="EP5" s="209"/>
      <c r="EQ5" s="208"/>
      <c r="ER5" s="43" t="s">
        <v>305</v>
      </c>
      <c r="ES5" s="43" t="s">
        <v>306</v>
      </c>
      <c r="ET5" s="43" t="s">
        <v>307</v>
      </c>
      <c r="EU5" s="209"/>
      <c r="EV5" s="208"/>
      <c r="EW5" s="43" t="s">
        <v>305</v>
      </c>
      <c r="EX5" s="43" t="s">
        <v>306</v>
      </c>
      <c r="EY5" s="43" t="s">
        <v>307</v>
      </c>
      <c r="EZ5" s="209"/>
      <c r="FA5" s="208"/>
      <c r="FB5" s="43" t="s">
        <v>305</v>
      </c>
      <c r="FC5" s="43" t="s">
        <v>306</v>
      </c>
      <c r="FD5" s="43" t="s">
        <v>307</v>
      </c>
      <c r="FE5" s="209"/>
      <c r="FF5" s="208"/>
      <c r="FG5" s="43" t="s">
        <v>305</v>
      </c>
      <c r="FH5" s="43" t="s">
        <v>306</v>
      </c>
      <c r="FI5" s="43" t="s">
        <v>307</v>
      </c>
      <c r="FJ5" s="209"/>
      <c r="FK5" s="208"/>
      <c r="FL5" s="43" t="s">
        <v>305</v>
      </c>
      <c r="FM5" s="43" t="s">
        <v>306</v>
      </c>
      <c r="FN5" s="43" t="s">
        <v>307</v>
      </c>
      <c r="FO5" s="209"/>
    </row>
    <row r="6" spans="1:171" x14ac:dyDescent="0.25">
      <c r="A6" s="56" t="s">
        <v>297</v>
      </c>
      <c r="B6" s="92"/>
      <c r="C6" s="56"/>
      <c r="D6" s="56"/>
      <c r="E6" s="56"/>
      <c r="F6" s="57"/>
      <c r="G6" s="92"/>
      <c r="H6" s="56"/>
      <c r="I6" s="56"/>
      <c r="J6" s="56"/>
      <c r="K6" s="56"/>
      <c r="L6" s="92"/>
      <c r="M6" s="56"/>
      <c r="N6" s="56"/>
      <c r="O6" s="56"/>
      <c r="P6" s="84"/>
      <c r="Q6" s="92"/>
      <c r="R6" s="21"/>
      <c r="S6" s="21"/>
      <c r="T6" s="56"/>
      <c r="U6" s="84"/>
      <c r="V6" s="92"/>
      <c r="W6" s="21"/>
      <c r="X6" s="21"/>
      <c r="Y6" s="21"/>
      <c r="Z6" s="84"/>
      <c r="AA6" s="92"/>
      <c r="AB6" s="21"/>
      <c r="AC6" s="21"/>
      <c r="AD6" s="21"/>
      <c r="AE6" s="84"/>
      <c r="AF6" s="56"/>
      <c r="AG6" s="56"/>
      <c r="AH6" s="56"/>
      <c r="AI6" s="56"/>
      <c r="AJ6" s="56"/>
      <c r="AK6" s="92">
        <v>1</v>
      </c>
      <c r="AL6" s="56">
        <v>641.1</v>
      </c>
      <c r="AM6" s="56">
        <v>3.01</v>
      </c>
      <c r="AN6" s="56">
        <v>0.02</v>
      </c>
      <c r="AO6" s="84">
        <v>1.0082</v>
      </c>
      <c r="AP6" s="92"/>
      <c r="AQ6" s="56"/>
      <c r="AR6" s="56"/>
      <c r="AS6" s="56"/>
      <c r="AT6" s="85"/>
      <c r="AU6" s="21"/>
      <c r="AV6" s="56"/>
      <c r="AW6" s="56"/>
      <c r="AX6" s="56"/>
      <c r="AY6" s="56"/>
      <c r="AZ6" s="92"/>
      <c r="BA6" s="56"/>
      <c r="BB6" s="56"/>
      <c r="BC6" s="56"/>
      <c r="BD6" s="56"/>
      <c r="BE6" s="92"/>
      <c r="BF6" s="56"/>
      <c r="BG6" s="56"/>
      <c r="BH6" s="56"/>
      <c r="BI6" s="56"/>
      <c r="BJ6" s="92"/>
      <c r="BK6" s="21"/>
      <c r="BL6" s="21"/>
      <c r="BM6" s="21"/>
      <c r="BN6" s="56"/>
      <c r="BO6" s="95"/>
      <c r="BP6" s="56"/>
      <c r="BQ6" s="56"/>
      <c r="BR6" s="56"/>
      <c r="BS6" s="56"/>
      <c r="BT6" s="92"/>
      <c r="BU6" s="21"/>
      <c r="BV6" s="21"/>
      <c r="BW6" s="21"/>
      <c r="BX6" s="56"/>
      <c r="BY6" s="92"/>
      <c r="BZ6" s="21"/>
      <c r="CA6" s="21"/>
      <c r="CB6" s="21"/>
      <c r="CC6" s="56"/>
      <c r="CD6" s="92"/>
      <c r="CE6" s="21"/>
      <c r="CF6" s="21"/>
      <c r="CG6" s="21"/>
      <c r="CH6" s="56"/>
      <c r="CI6" s="92"/>
      <c r="CJ6" s="21"/>
      <c r="CK6" s="21"/>
      <c r="CL6" s="21"/>
      <c r="CM6" s="56"/>
      <c r="CN6" s="92"/>
      <c r="CO6" s="21"/>
      <c r="CP6" s="21"/>
      <c r="CQ6" s="21"/>
      <c r="CR6" s="56"/>
      <c r="CS6" s="92"/>
      <c r="CT6" s="21"/>
      <c r="CU6" s="21"/>
      <c r="CV6" s="21"/>
      <c r="CW6" s="84"/>
      <c r="CX6" s="56"/>
      <c r="CY6" s="56"/>
      <c r="CZ6" s="56"/>
      <c r="DA6" s="56"/>
      <c r="DB6" s="56"/>
      <c r="DC6" s="92">
        <v>3</v>
      </c>
      <c r="DD6" s="56"/>
      <c r="DE6" s="56"/>
      <c r="DF6" s="56">
        <v>399.18</v>
      </c>
      <c r="DG6" s="54">
        <v>2.8E-3</v>
      </c>
      <c r="DH6" s="56"/>
      <c r="DI6" s="21"/>
      <c r="DJ6" s="21"/>
      <c r="DK6" s="21"/>
      <c r="DL6" s="85"/>
      <c r="DM6" s="92"/>
      <c r="DN6" s="56"/>
      <c r="DO6" s="56"/>
      <c r="DP6" s="56"/>
      <c r="DQ6" s="56"/>
      <c r="DR6" s="95"/>
      <c r="DS6" s="56"/>
      <c r="DT6" s="56"/>
      <c r="DU6" s="56"/>
      <c r="DV6" s="56"/>
      <c r="DW6" s="56">
        <v>2</v>
      </c>
      <c r="DX6" s="56">
        <v>126</v>
      </c>
      <c r="DY6" s="56"/>
      <c r="DZ6" s="56"/>
      <c r="EA6" s="56">
        <v>100</v>
      </c>
      <c r="EB6" s="95"/>
      <c r="EC6" s="56"/>
      <c r="ED6" s="56"/>
      <c r="EE6" s="56"/>
      <c r="EF6" s="56"/>
      <c r="EG6" s="92"/>
      <c r="EH6" s="21"/>
      <c r="EI6" s="21"/>
      <c r="EJ6" s="21"/>
      <c r="EK6" s="56"/>
      <c r="EL6" s="92"/>
      <c r="EM6" s="56"/>
      <c r="EN6" s="56"/>
      <c r="EO6" s="56"/>
      <c r="EP6" s="56"/>
      <c r="EQ6" s="92"/>
      <c r="ER6" s="56"/>
      <c r="ES6" s="56"/>
      <c r="ET6" s="56"/>
      <c r="EU6" s="56"/>
      <c r="EV6" s="92">
        <v>1</v>
      </c>
      <c r="EW6" s="56">
        <v>126463.02</v>
      </c>
      <c r="EX6" s="56">
        <v>273.12</v>
      </c>
      <c r="EY6" s="56"/>
      <c r="EZ6" s="54">
        <v>0.99590000000000001</v>
      </c>
      <c r="FA6" s="95"/>
      <c r="FB6" s="56"/>
      <c r="FC6" s="56"/>
      <c r="FD6" s="56"/>
      <c r="FE6" s="56"/>
      <c r="FF6" s="21"/>
      <c r="FG6" s="21"/>
      <c r="FH6" s="21"/>
      <c r="FI6" s="21"/>
      <c r="FJ6" s="85"/>
      <c r="FK6" s="92"/>
      <c r="FL6" s="21"/>
      <c r="FM6" s="21"/>
      <c r="FN6" s="21"/>
      <c r="FO6" s="56"/>
    </row>
    <row r="7" spans="1:171" x14ac:dyDescent="0.25">
      <c r="A7" s="56" t="s">
        <v>298</v>
      </c>
      <c r="B7" s="92">
        <v>2</v>
      </c>
      <c r="C7" s="56">
        <v>996.7</v>
      </c>
      <c r="D7" s="56">
        <v>19.45</v>
      </c>
      <c r="E7" s="56"/>
      <c r="F7" s="84">
        <v>0.96140000000000003</v>
      </c>
      <c r="G7" s="92">
        <v>1</v>
      </c>
      <c r="H7" s="56"/>
      <c r="I7" s="56">
        <v>3.01</v>
      </c>
      <c r="J7" s="56"/>
      <c r="K7" s="84">
        <v>3.2199999999999999E-2</v>
      </c>
      <c r="L7" s="92">
        <v>7</v>
      </c>
      <c r="M7" s="56">
        <v>104137.67</v>
      </c>
      <c r="N7" s="56">
        <v>4744.9799999999996</v>
      </c>
      <c r="O7" s="56"/>
      <c r="P7" s="84">
        <v>0.2036</v>
      </c>
      <c r="Q7" s="92"/>
      <c r="R7" s="21"/>
      <c r="S7" s="21"/>
      <c r="T7" s="56"/>
      <c r="U7" s="84"/>
      <c r="V7" s="92">
        <v>74</v>
      </c>
      <c r="W7" s="21">
        <v>39502</v>
      </c>
      <c r="X7" s="21">
        <v>5003</v>
      </c>
      <c r="Y7" s="21">
        <v>9644</v>
      </c>
      <c r="Z7" s="122">
        <v>0.16300000000000001</v>
      </c>
      <c r="AA7" s="92">
        <v>1</v>
      </c>
      <c r="AB7" s="21">
        <v>48.652929999999998</v>
      </c>
      <c r="AC7" s="21"/>
      <c r="AD7" s="21"/>
      <c r="AE7" s="84">
        <v>5.9999999999999995E-4</v>
      </c>
      <c r="AF7" s="56"/>
      <c r="AG7" s="56">
        <v>1843.73</v>
      </c>
      <c r="AH7" s="56">
        <v>134.80000000000001</v>
      </c>
      <c r="AI7" s="56">
        <v>4689.4799999999996</v>
      </c>
      <c r="AJ7" s="84">
        <v>0.114</v>
      </c>
      <c r="AK7" s="92"/>
      <c r="AL7" s="56"/>
      <c r="AM7" s="56"/>
      <c r="AN7" s="56"/>
      <c r="AO7" s="84"/>
      <c r="AP7" s="92"/>
      <c r="AQ7" s="56"/>
      <c r="AR7" s="56"/>
      <c r="AS7" s="56"/>
      <c r="AT7" s="85"/>
      <c r="AU7" s="21">
        <v>3</v>
      </c>
      <c r="AV7" s="56">
        <v>1635.86</v>
      </c>
      <c r="AW7" s="56"/>
      <c r="AX7" s="56"/>
      <c r="AY7" s="84">
        <v>0.53669999999999995</v>
      </c>
      <c r="AZ7" s="92"/>
      <c r="BA7" s="56"/>
      <c r="BB7" s="56"/>
      <c r="BC7" s="56"/>
      <c r="BD7" s="56"/>
      <c r="BE7" s="92">
        <v>3</v>
      </c>
      <c r="BF7" s="21">
        <v>1662</v>
      </c>
      <c r="BG7" s="56"/>
      <c r="BH7" s="56">
        <v>48</v>
      </c>
      <c r="BI7" s="84">
        <v>1.9400000000000001E-2</v>
      </c>
      <c r="BJ7" s="92">
        <v>7</v>
      </c>
      <c r="BK7" s="21"/>
      <c r="BL7" s="21">
        <v>6954</v>
      </c>
      <c r="BM7" s="21">
        <v>224</v>
      </c>
      <c r="BN7" s="84">
        <v>0.28760000000000002</v>
      </c>
      <c r="BO7" s="92">
        <v>22</v>
      </c>
      <c r="BP7" s="21">
        <v>134013</v>
      </c>
      <c r="BQ7" s="21">
        <v>5397.3</v>
      </c>
      <c r="BR7" s="21">
        <v>6483.2</v>
      </c>
      <c r="BS7" s="84">
        <v>0.33550000000000002</v>
      </c>
      <c r="BT7" s="92">
        <v>56</v>
      </c>
      <c r="BU7" s="21">
        <v>81105</v>
      </c>
      <c r="BV7" s="21">
        <v>3841</v>
      </c>
      <c r="BW7" s="21">
        <v>12189</v>
      </c>
      <c r="BX7" s="84">
        <v>0.185</v>
      </c>
      <c r="BY7" s="92">
        <v>4</v>
      </c>
      <c r="BZ7" s="21">
        <v>3467</v>
      </c>
      <c r="CA7" s="21">
        <v>1</v>
      </c>
      <c r="CB7" s="21">
        <v>158</v>
      </c>
      <c r="CC7" s="84">
        <v>0.01</v>
      </c>
      <c r="CD7" s="92"/>
      <c r="CE7" s="21"/>
      <c r="CF7" s="21"/>
      <c r="CG7" s="21"/>
      <c r="CH7" s="56"/>
      <c r="CI7" s="92">
        <v>3</v>
      </c>
      <c r="CJ7" s="21">
        <v>37</v>
      </c>
      <c r="CK7" s="21">
        <v>37</v>
      </c>
      <c r="CL7" s="21">
        <v>3</v>
      </c>
      <c r="CM7" s="54">
        <v>7.0000000000000001E-3</v>
      </c>
      <c r="CN7" s="92">
        <v>6</v>
      </c>
      <c r="CO7" s="21">
        <v>11251</v>
      </c>
      <c r="CP7" s="21">
        <v>15150</v>
      </c>
      <c r="CQ7" s="21">
        <v>28</v>
      </c>
      <c r="CR7" s="84">
        <v>0.51929999999999998</v>
      </c>
      <c r="CS7" s="92"/>
      <c r="CT7" s="21"/>
      <c r="CU7" s="21"/>
      <c r="CV7" s="21"/>
      <c r="CW7" s="84"/>
      <c r="CX7" s="56"/>
      <c r="CY7" s="56"/>
      <c r="CZ7" s="56"/>
      <c r="DA7" s="56"/>
      <c r="DB7" s="56"/>
      <c r="DC7" s="92">
        <v>37</v>
      </c>
      <c r="DD7" s="56">
        <v>1799.65</v>
      </c>
      <c r="DE7" s="56">
        <v>1204.3399999999999</v>
      </c>
      <c r="DF7" s="56">
        <v>2182.86</v>
      </c>
      <c r="DG7" s="54">
        <v>3.5799999999999998E-2</v>
      </c>
      <c r="DH7" s="56"/>
      <c r="DI7" s="21">
        <v>6839</v>
      </c>
      <c r="DJ7" s="21">
        <v>1842</v>
      </c>
      <c r="DK7" s="21">
        <v>2148</v>
      </c>
      <c r="DL7" s="84">
        <v>4.0399999999999998E-2</v>
      </c>
      <c r="DM7" s="92">
        <v>3</v>
      </c>
      <c r="DN7" s="56"/>
      <c r="DO7" s="56">
        <v>276.61</v>
      </c>
      <c r="DP7" s="56">
        <v>62.81</v>
      </c>
      <c r="DQ7" s="84">
        <v>2.5399999999999999E-2</v>
      </c>
      <c r="DR7" s="92">
        <v>26</v>
      </c>
      <c r="DS7" s="56">
        <v>504.73</v>
      </c>
      <c r="DT7" s="56">
        <v>333.76</v>
      </c>
      <c r="DU7" s="56">
        <v>1002.76</v>
      </c>
      <c r="DV7" s="54">
        <v>7.1999999999999998E-3</v>
      </c>
      <c r="DW7" s="54"/>
      <c r="DX7" s="54"/>
      <c r="DY7" s="54"/>
      <c r="DZ7" s="54"/>
      <c r="EA7" s="54"/>
      <c r="EB7" s="95"/>
      <c r="EC7" s="56"/>
      <c r="ED7" s="56"/>
      <c r="EE7" s="56"/>
      <c r="EF7" s="56"/>
      <c r="EG7" s="92">
        <v>1</v>
      </c>
      <c r="EH7" s="56"/>
      <c r="EI7" s="56">
        <v>0.9</v>
      </c>
      <c r="EJ7" s="56">
        <v>2165.7600000000002</v>
      </c>
      <c r="EK7" s="56">
        <v>2.18E-2</v>
      </c>
      <c r="EL7" s="92">
        <v>5</v>
      </c>
      <c r="EM7" s="56">
        <v>4806.45</v>
      </c>
      <c r="EN7" s="56">
        <v>0.19</v>
      </c>
      <c r="EO7" s="56">
        <v>139.16999999999999</v>
      </c>
      <c r="EP7" s="84">
        <v>2.29E-2</v>
      </c>
      <c r="EQ7" s="92">
        <v>1</v>
      </c>
      <c r="ER7" s="56">
        <v>1.75</v>
      </c>
      <c r="ES7" s="56"/>
      <c r="ET7" s="56"/>
      <c r="EU7" s="84">
        <v>4.0000000000000002E-4</v>
      </c>
      <c r="EV7" s="92"/>
      <c r="EW7" s="56"/>
      <c r="EX7" s="56"/>
      <c r="EY7" s="56"/>
      <c r="EZ7" s="84"/>
      <c r="FA7" s="92">
        <v>53</v>
      </c>
      <c r="FB7" s="21">
        <v>75148</v>
      </c>
      <c r="FC7" s="21">
        <v>8311</v>
      </c>
      <c r="FD7" s="21">
        <v>3481</v>
      </c>
      <c r="FE7" s="54">
        <v>0.30890000000000001</v>
      </c>
      <c r="FF7" s="21">
        <v>4</v>
      </c>
      <c r="FG7" s="56">
        <v>0.53</v>
      </c>
      <c r="FH7" s="56">
        <v>26.92</v>
      </c>
      <c r="FI7" s="56">
        <v>65.28</v>
      </c>
      <c r="FJ7" s="84">
        <v>3.32E-2</v>
      </c>
      <c r="FK7" s="92">
        <v>11</v>
      </c>
      <c r="FL7" s="21">
        <v>10765</v>
      </c>
      <c r="FM7" s="21">
        <v>1662</v>
      </c>
      <c r="FN7" s="21">
        <v>4076</v>
      </c>
      <c r="FO7" s="84">
        <v>0.1111</v>
      </c>
    </row>
    <row r="8" spans="1:171" ht="15" customHeight="1" x14ac:dyDescent="0.25">
      <c r="A8" s="56" t="s">
        <v>299</v>
      </c>
      <c r="B8" s="92">
        <v>2</v>
      </c>
      <c r="C8" s="56">
        <v>38.67</v>
      </c>
      <c r="D8" s="56">
        <v>2.16</v>
      </c>
      <c r="E8" s="56"/>
      <c r="F8" s="84">
        <v>3.8600000000000002E-2</v>
      </c>
      <c r="G8" s="92">
        <v>4</v>
      </c>
      <c r="H8" s="56">
        <v>63.31</v>
      </c>
      <c r="I8" s="56">
        <v>21.1</v>
      </c>
      <c r="J8" s="56">
        <v>0.09</v>
      </c>
      <c r="K8" s="84">
        <v>0.90329999999999999</v>
      </c>
      <c r="L8" s="92">
        <v>40</v>
      </c>
      <c r="M8" s="56">
        <v>413160.14</v>
      </c>
      <c r="N8" s="56">
        <v>12506.6</v>
      </c>
      <c r="O8" s="56"/>
      <c r="P8" s="84">
        <v>0.79590000000000005</v>
      </c>
      <c r="Q8" s="92">
        <v>3</v>
      </c>
      <c r="R8" s="21">
        <v>21517</v>
      </c>
      <c r="S8" s="21">
        <v>58</v>
      </c>
      <c r="T8" s="56"/>
      <c r="U8" s="84">
        <v>0.64</v>
      </c>
      <c r="V8" s="92">
        <v>300</v>
      </c>
      <c r="W8" s="21">
        <v>194698</v>
      </c>
      <c r="X8" s="21">
        <v>15565</v>
      </c>
      <c r="Y8" s="21">
        <v>67780</v>
      </c>
      <c r="Z8" s="122">
        <v>0.83679999999999999</v>
      </c>
      <c r="AA8" s="92">
        <v>48</v>
      </c>
      <c r="AB8" s="21">
        <v>26697.810150000001</v>
      </c>
      <c r="AC8" s="21">
        <v>3172</v>
      </c>
      <c r="AD8" s="21">
        <v>1802</v>
      </c>
      <c r="AE8" s="84">
        <v>0.41210000000000002</v>
      </c>
      <c r="AF8" s="56"/>
      <c r="AG8" s="56">
        <v>48348.38</v>
      </c>
      <c r="AH8" s="56">
        <v>1558.91</v>
      </c>
      <c r="AI8" s="56">
        <v>1906.25</v>
      </c>
      <c r="AJ8" s="84">
        <v>0.88590000000000002</v>
      </c>
      <c r="AK8" s="92">
        <v>2</v>
      </c>
      <c r="AL8" s="56">
        <v>-7.43</v>
      </c>
      <c r="AM8" s="56">
        <v>0.75</v>
      </c>
      <c r="AN8" s="56">
        <v>1.47</v>
      </c>
      <c r="AO8" s="84">
        <v>-0.82</v>
      </c>
      <c r="AP8" s="92">
        <v>3</v>
      </c>
      <c r="AQ8" s="56">
        <v>3517.28</v>
      </c>
      <c r="AR8" s="56">
        <v>171.97</v>
      </c>
      <c r="AS8" s="56"/>
      <c r="AT8" s="84">
        <v>0.32200000000000001</v>
      </c>
      <c r="AU8" s="21">
        <v>10</v>
      </c>
      <c r="AV8" s="56">
        <v>1125.54</v>
      </c>
      <c r="AW8" s="56">
        <v>179.44</v>
      </c>
      <c r="AX8" s="56">
        <v>26.25</v>
      </c>
      <c r="AY8" s="84">
        <v>0.43669999999999998</v>
      </c>
      <c r="AZ8" s="92">
        <v>6</v>
      </c>
      <c r="BA8" s="56">
        <v>16521.78</v>
      </c>
      <c r="BB8" s="56">
        <v>3290.01</v>
      </c>
      <c r="BC8" s="56"/>
      <c r="BD8" s="84">
        <v>0.52480000000000004</v>
      </c>
      <c r="BE8" s="92">
        <v>58</v>
      </c>
      <c r="BF8" s="21">
        <v>17238</v>
      </c>
      <c r="BG8" s="56">
        <v>1563</v>
      </c>
      <c r="BH8" s="56">
        <v>2111</v>
      </c>
      <c r="BI8" s="84">
        <v>0.23780000000000001</v>
      </c>
      <c r="BJ8" s="92">
        <v>39</v>
      </c>
      <c r="BK8" s="21">
        <v>4470</v>
      </c>
      <c r="BL8" s="21">
        <v>12554</v>
      </c>
      <c r="BM8" s="21">
        <v>759</v>
      </c>
      <c r="BN8" s="84">
        <v>0.71240000000000003</v>
      </c>
      <c r="BO8" s="92">
        <v>165</v>
      </c>
      <c r="BP8" s="21">
        <v>248920</v>
      </c>
      <c r="BQ8" s="21">
        <v>7720.9</v>
      </c>
      <c r="BR8" s="21">
        <v>24816.6</v>
      </c>
      <c r="BS8" s="84">
        <v>0.6472</v>
      </c>
      <c r="BT8" s="92">
        <v>186</v>
      </c>
      <c r="BU8" s="21">
        <v>338154</v>
      </c>
      <c r="BV8" s="21">
        <v>19621</v>
      </c>
      <c r="BW8" s="21">
        <v>40446</v>
      </c>
      <c r="BX8" s="84">
        <v>0.75839999999999996</v>
      </c>
      <c r="BY8" s="92">
        <v>150</v>
      </c>
      <c r="BZ8" s="21">
        <v>202137</v>
      </c>
      <c r="CA8" s="21">
        <v>14609</v>
      </c>
      <c r="CB8" s="21">
        <v>14077</v>
      </c>
      <c r="CC8" s="84">
        <v>0.8</v>
      </c>
      <c r="CD8" s="92">
        <v>4</v>
      </c>
      <c r="CE8" s="21">
        <v>251</v>
      </c>
      <c r="CF8" s="21">
        <v>161</v>
      </c>
      <c r="CG8" s="21"/>
      <c r="CH8" s="84">
        <v>0.113</v>
      </c>
      <c r="CI8" s="92">
        <v>18</v>
      </c>
      <c r="CJ8" s="21">
        <v>11752</v>
      </c>
      <c r="CK8" s="21">
        <v>11752</v>
      </c>
      <c r="CL8" s="21">
        <v>388</v>
      </c>
      <c r="CM8" s="54">
        <v>0.9929</v>
      </c>
      <c r="CN8" s="92">
        <v>31</v>
      </c>
      <c r="CO8" s="21">
        <v>22481</v>
      </c>
      <c r="CP8" s="21">
        <v>554</v>
      </c>
      <c r="CQ8" s="21">
        <v>1197</v>
      </c>
      <c r="CR8" s="84">
        <v>0.47620000000000001</v>
      </c>
      <c r="CS8" s="92">
        <v>3</v>
      </c>
      <c r="CT8" s="21">
        <v>21490</v>
      </c>
      <c r="CU8" s="21">
        <v>72</v>
      </c>
      <c r="CV8" s="21"/>
      <c r="CW8" s="84">
        <v>1</v>
      </c>
      <c r="CX8" s="56"/>
      <c r="CY8" s="56"/>
      <c r="CZ8" s="56"/>
      <c r="DA8" s="56"/>
      <c r="DB8" s="56"/>
      <c r="DC8" s="92">
        <v>220</v>
      </c>
      <c r="DD8" s="56">
        <v>6426.61</v>
      </c>
      <c r="DE8" s="56">
        <v>2788.01</v>
      </c>
      <c r="DF8" s="56">
        <v>14418.09</v>
      </c>
      <c r="DG8" s="54">
        <v>0.16300000000000001</v>
      </c>
      <c r="DH8" s="56"/>
      <c r="DI8" s="21">
        <v>8383</v>
      </c>
      <c r="DJ8" s="21">
        <v>6284</v>
      </c>
      <c r="DK8" s="21">
        <v>15731</v>
      </c>
      <c r="DL8" s="84">
        <v>0.1133</v>
      </c>
      <c r="DM8" s="92">
        <v>5</v>
      </c>
      <c r="DN8" s="56">
        <v>799</v>
      </c>
      <c r="DO8" s="56">
        <v>861.05</v>
      </c>
      <c r="DP8" s="56">
        <v>472.74</v>
      </c>
      <c r="DQ8" s="84">
        <v>0.86270000000000002</v>
      </c>
      <c r="DR8" s="92">
        <v>134</v>
      </c>
      <c r="DS8" s="56">
        <v>182933.06</v>
      </c>
      <c r="DT8" s="56">
        <v>9368.42</v>
      </c>
      <c r="DU8" s="56">
        <v>9557.84</v>
      </c>
      <c r="DV8" s="54">
        <v>0.78839999999999999</v>
      </c>
      <c r="DW8" s="54"/>
      <c r="DX8" s="54"/>
      <c r="DY8" s="54"/>
      <c r="DZ8" s="54"/>
      <c r="EA8" s="54"/>
      <c r="EB8" s="95"/>
      <c r="EC8" s="56"/>
      <c r="ED8" s="56"/>
      <c r="EE8" s="56"/>
      <c r="EF8" s="56"/>
      <c r="EG8" s="92">
        <v>44</v>
      </c>
      <c r="EH8" s="56">
        <v>25767.43</v>
      </c>
      <c r="EI8" s="56">
        <v>2095.15</v>
      </c>
      <c r="EJ8" s="56">
        <v>450.98</v>
      </c>
      <c r="EK8" s="84">
        <v>0.2853</v>
      </c>
      <c r="EL8" s="92">
        <v>100</v>
      </c>
      <c r="EM8" s="56">
        <v>48967.47</v>
      </c>
      <c r="EN8" s="56">
        <v>5347.15</v>
      </c>
      <c r="EO8" s="56">
        <v>489.27</v>
      </c>
      <c r="EP8" s="84">
        <v>0.25380000000000003</v>
      </c>
      <c r="EQ8" s="92">
        <v>4</v>
      </c>
      <c r="ER8" s="56">
        <v>40.090000000000003</v>
      </c>
      <c r="ES8" s="56">
        <v>88.38</v>
      </c>
      <c r="ET8" s="56">
        <v>566.91999999999996</v>
      </c>
      <c r="EU8" s="84">
        <v>0.13950000000000001</v>
      </c>
      <c r="EV8" s="92">
        <v>2</v>
      </c>
      <c r="EW8" s="56">
        <v>483.12</v>
      </c>
      <c r="EX8" s="56">
        <v>39.020000000000003</v>
      </c>
      <c r="EY8" s="56"/>
      <c r="EZ8" s="84">
        <v>4.1000000000000003E-3</v>
      </c>
      <c r="FA8" s="92">
        <v>198</v>
      </c>
      <c r="FB8" s="21">
        <v>163435</v>
      </c>
      <c r="FC8" s="21">
        <v>9591</v>
      </c>
      <c r="FD8" s="21">
        <v>16516</v>
      </c>
      <c r="FE8" s="54">
        <v>0.6734</v>
      </c>
      <c r="FF8" s="21">
        <v>246</v>
      </c>
      <c r="FG8" s="56">
        <v>842.38</v>
      </c>
      <c r="FH8" s="56">
        <v>210.75</v>
      </c>
      <c r="FI8" s="56">
        <v>1163.8</v>
      </c>
      <c r="FJ8" s="84">
        <v>0.79339999999999999</v>
      </c>
      <c r="FK8" s="92">
        <v>22</v>
      </c>
      <c r="FL8" s="21">
        <v>107419</v>
      </c>
      <c r="FM8" s="21">
        <v>7034</v>
      </c>
      <c r="FN8" s="21">
        <v>385</v>
      </c>
      <c r="FO8" s="84">
        <v>0.77300000000000002</v>
      </c>
    </row>
    <row r="9" spans="1:171" x14ac:dyDescent="0.25">
      <c r="A9" s="56" t="s">
        <v>300</v>
      </c>
      <c r="B9" s="92"/>
      <c r="C9" s="56"/>
      <c r="D9" s="56"/>
      <c r="E9" s="56"/>
      <c r="F9" s="84"/>
      <c r="G9" s="92">
        <v>1</v>
      </c>
      <c r="H9" s="56"/>
      <c r="I9" s="56">
        <v>6.03</v>
      </c>
      <c r="J9" s="56"/>
      <c r="K9" s="84">
        <v>6.4399999999999999E-2</v>
      </c>
      <c r="L9" s="92"/>
      <c r="M9" s="56"/>
      <c r="N9" s="56"/>
      <c r="O9" s="56"/>
      <c r="P9" s="84"/>
      <c r="Q9" s="92">
        <v>1</v>
      </c>
      <c r="R9" s="21">
        <v>11876</v>
      </c>
      <c r="S9" s="21">
        <v>232</v>
      </c>
      <c r="T9" s="56"/>
      <c r="U9" s="84">
        <v>0.36</v>
      </c>
      <c r="V9" s="92"/>
      <c r="W9" s="21"/>
      <c r="X9" s="21"/>
      <c r="Y9" s="21"/>
      <c r="Z9" s="84"/>
      <c r="AA9" s="92">
        <v>17</v>
      </c>
      <c r="AB9" s="21">
        <v>41209.622580000003</v>
      </c>
      <c r="AC9" s="21">
        <v>2369</v>
      </c>
      <c r="AD9" s="21">
        <v>1159</v>
      </c>
      <c r="AE9" s="84">
        <v>0.58209999999999995</v>
      </c>
      <c r="AF9" s="56"/>
      <c r="AG9" s="56"/>
      <c r="AH9" s="56"/>
      <c r="AI9" s="56"/>
      <c r="AJ9" s="84"/>
      <c r="AK9" s="92"/>
      <c r="AL9" s="56"/>
      <c r="AM9" s="56"/>
      <c r="AN9" s="56"/>
      <c r="AO9" s="84"/>
      <c r="AP9" s="92">
        <v>5</v>
      </c>
      <c r="AQ9" s="56">
        <v>7516.31</v>
      </c>
      <c r="AR9" s="56">
        <v>252.61</v>
      </c>
      <c r="AS9" s="56"/>
      <c r="AT9" s="84">
        <v>0.67800000000000005</v>
      </c>
      <c r="AU9" s="21">
        <v>11</v>
      </c>
      <c r="AV9" s="56">
        <v>13.1</v>
      </c>
      <c r="AW9" s="56">
        <v>51.32</v>
      </c>
      <c r="AX9" s="56"/>
      <c r="AY9" s="84">
        <v>2.1100000000000001E-2</v>
      </c>
      <c r="AZ9" s="92">
        <v>3</v>
      </c>
      <c r="BA9" s="56">
        <v>17571.8</v>
      </c>
      <c r="BB9" s="56">
        <v>366.32</v>
      </c>
      <c r="BC9" s="56"/>
      <c r="BD9" s="84">
        <v>0.47520000000000001</v>
      </c>
      <c r="BE9" s="92">
        <v>10</v>
      </c>
      <c r="BF9" s="21">
        <v>2157</v>
      </c>
      <c r="BG9" s="56">
        <v>305</v>
      </c>
      <c r="BH9" s="56"/>
      <c r="BI9" s="84"/>
      <c r="BJ9" s="92"/>
      <c r="BK9" s="21"/>
      <c r="BL9" s="21"/>
      <c r="BM9" s="21"/>
      <c r="BN9" s="84"/>
      <c r="BO9" s="92">
        <v>4</v>
      </c>
      <c r="BP9" s="21">
        <v>46.9</v>
      </c>
      <c r="BQ9" s="56"/>
      <c r="BR9" s="56"/>
      <c r="BS9" s="84"/>
      <c r="BT9" s="92">
        <v>3</v>
      </c>
      <c r="BU9" s="21">
        <v>29</v>
      </c>
      <c r="BV9" s="21"/>
      <c r="BW9" s="21"/>
      <c r="BX9" s="84">
        <v>1E-4</v>
      </c>
      <c r="BY9" s="92">
        <v>29</v>
      </c>
      <c r="BZ9" s="21">
        <v>11124</v>
      </c>
      <c r="CA9" s="21">
        <v>1525</v>
      </c>
      <c r="CB9" s="21">
        <v>31895</v>
      </c>
      <c r="CC9" s="84">
        <v>0.15</v>
      </c>
      <c r="CD9" s="92">
        <v>1</v>
      </c>
      <c r="CE9" s="21">
        <v>2959</v>
      </c>
      <c r="CF9" s="21">
        <v>285</v>
      </c>
      <c r="CG9" s="21">
        <v>2</v>
      </c>
      <c r="CH9" s="84">
        <v>0.88600000000000001</v>
      </c>
      <c r="CI9" s="92"/>
      <c r="CJ9" s="21"/>
      <c r="CK9" s="21"/>
      <c r="CL9" s="21"/>
      <c r="CM9" s="57"/>
      <c r="CN9" s="92">
        <v>2</v>
      </c>
      <c r="CO9" s="21">
        <v>7</v>
      </c>
      <c r="CP9" s="21">
        <v>2</v>
      </c>
      <c r="CQ9" s="21"/>
      <c r="CR9" s="84">
        <v>2.0000000000000001E-4</v>
      </c>
      <c r="CS9" s="92"/>
      <c r="CT9" s="21"/>
      <c r="CU9" s="21"/>
      <c r="CV9" s="21"/>
      <c r="CW9" s="84"/>
      <c r="CX9" s="56"/>
      <c r="CY9" s="56"/>
      <c r="CZ9" s="56"/>
      <c r="DA9" s="56"/>
      <c r="DB9" s="56"/>
      <c r="DC9" s="92">
        <v>73</v>
      </c>
      <c r="DD9" s="56">
        <v>62228.79</v>
      </c>
      <c r="DE9" s="56">
        <v>6341.96</v>
      </c>
      <c r="DF9" s="56">
        <v>47158.68</v>
      </c>
      <c r="DG9" s="54">
        <v>0.7984</v>
      </c>
      <c r="DH9" s="56"/>
      <c r="DI9" s="21">
        <v>1197</v>
      </c>
      <c r="DJ9" s="21">
        <v>427</v>
      </c>
      <c r="DK9" s="21">
        <v>2</v>
      </c>
      <c r="DL9" s="84">
        <v>6.1000000000000004E-3</v>
      </c>
      <c r="DM9" s="92"/>
      <c r="DN9" s="56"/>
      <c r="DO9" s="56"/>
      <c r="DP9" s="56"/>
      <c r="DQ9" s="56"/>
      <c r="DR9" s="92">
        <v>14</v>
      </c>
      <c r="DS9" s="56">
        <v>15505.5</v>
      </c>
      <c r="DT9" s="56">
        <v>910.32</v>
      </c>
      <c r="DU9" s="56">
        <v>269.10000000000002</v>
      </c>
      <c r="DV9" s="54">
        <v>6.5199999999999994E-2</v>
      </c>
      <c r="DW9" s="54"/>
      <c r="DX9" s="54"/>
      <c r="DY9" s="54"/>
      <c r="DZ9" s="54"/>
      <c r="EA9" s="54"/>
      <c r="EB9" s="92">
        <v>1</v>
      </c>
      <c r="EC9" s="56">
        <v>39085.1</v>
      </c>
      <c r="ED9" s="56">
        <v>184</v>
      </c>
      <c r="EE9" s="56">
        <v>17970.400000000001</v>
      </c>
      <c r="EF9" s="54">
        <v>0.99099999999999999</v>
      </c>
      <c r="EG9" s="92">
        <v>18</v>
      </c>
      <c r="EH9" s="56">
        <v>63178.03</v>
      </c>
      <c r="EI9" s="56">
        <v>2287.7600000000002</v>
      </c>
      <c r="EJ9" s="56">
        <v>3305.28</v>
      </c>
      <c r="EK9" s="84">
        <v>0.69289999999999996</v>
      </c>
      <c r="EL9" s="92">
        <v>15</v>
      </c>
      <c r="EM9" s="56">
        <v>145948.26</v>
      </c>
      <c r="EN9" s="56">
        <v>6342.96</v>
      </c>
      <c r="EO9" s="56">
        <v>1982.42</v>
      </c>
      <c r="EP9" s="84">
        <v>0.71450000000000002</v>
      </c>
      <c r="EQ9" s="92">
        <v>12</v>
      </c>
      <c r="ER9" s="56">
        <v>3702.45</v>
      </c>
      <c r="ES9" s="56">
        <v>559.91999999999996</v>
      </c>
      <c r="ET9" s="56">
        <v>2.98</v>
      </c>
      <c r="EU9" s="84">
        <v>0.85570000000000002</v>
      </c>
      <c r="EV9" s="92"/>
      <c r="EW9" s="56"/>
      <c r="EX9" s="56"/>
      <c r="EY9" s="56"/>
      <c r="EZ9" s="56"/>
      <c r="FA9" s="96">
        <v>2</v>
      </c>
      <c r="FB9" s="21"/>
      <c r="FC9" s="21"/>
      <c r="FD9" s="21"/>
      <c r="FE9" s="54"/>
      <c r="FF9" s="21">
        <v>35</v>
      </c>
      <c r="FG9" s="56">
        <v>22.97</v>
      </c>
      <c r="FH9" s="56">
        <v>34.159999999999997</v>
      </c>
      <c r="FI9" s="56">
        <v>-5.18</v>
      </c>
      <c r="FJ9" s="84">
        <v>1.8599999999999998E-2</v>
      </c>
      <c r="FK9" s="92">
        <v>6</v>
      </c>
      <c r="FL9" s="21">
        <v>2192</v>
      </c>
      <c r="FM9" s="21">
        <v>766</v>
      </c>
      <c r="FN9" s="21"/>
      <c r="FO9" s="84">
        <v>1.9900000000000001E-2</v>
      </c>
    </row>
    <row r="10" spans="1:171" x14ac:dyDescent="0.25">
      <c r="A10" s="56" t="s">
        <v>301</v>
      </c>
      <c r="B10" s="92"/>
      <c r="C10" s="56"/>
      <c r="D10" s="56"/>
      <c r="E10" s="56"/>
      <c r="F10" s="84"/>
      <c r="G10" s="92"/>
      <c r="H10" s="56"/>
      <c r="I10" s="56"/>
      <c r="J10" s="56"/>
      <c r="K10" s="84"/>
      <c r="L10" s="92">
        <v>3</v>
      </c>
      <c r="M10" s="56">
        <v>254.88</v>
      </c>
      <c r="N10" s="56"/>
      <c r="O10" s="56"/>
      <c r="P10" s="84">
        <v>5.0000000000000001E-4</v>
      </c>
      <c r="Q10" s="92"/>
      <c r="R10" s="21"/>
      <c r="S10" s="21"/>
      <c r="T10" s="56"/>
      <c r="U10" s="84"/>
      <c r="V10" s="92"/>
      <c r="W10" s="21"/>
      <c r="X10" s="21"/>
      <c r="Y10" s="21"/>
      <c r="Z10" s="84"/>
      <c r="AA10" s="92"/>
      <c r="AB10" s="21"/>
      <c r="AC10" s="21"/>
      <c r="AD10" s="21"/>
      <c r="AE10" s="84"/>
      <c r="AF10" s="56"/>
      <c r="AG10" s="56">
        <v>1.77</v>
      </c>
      <c r="AH10" s="56">
        <v>2.66</v>
      </c>
      <c r="AI10" s="56"/>
      <c r="AJ10" s="84">
        <v>1E-4</v>
      </c>
      <c r="AK10" s="92"/>
      <c r="AL10" s="56"/>
      <c r="AM10" s="56"/>
      <c r="AN10" s="56"/>
      <c r="AO10" s="84"/>
      <c r="AP10" s="92"/>
      <c r="AQ10" s="56"/>
      <c r="AR10" s="56"/>
      <c r="AS10" s="56"/>
      <c r="AT10" s="84"/>
      <c r="AU10" s="21">
        <v>1</v>
      </c>
      <c r="AV10" s="56"/>
      <c r="AW10" s="56"/>
      <c r="AX10" s="56">
        <v>16.68</v>
      </c>
      <c r="AY10" s="84">
        <v>5.4999999999999997E-3</v>
      </c>
      <c r="AZ10" s="92">
        <v>2</v>
      </c>
      <c r="BA10" s="56">
        <v>2.2000000000000002</v>
      </c>
      <c r="BB10" s="56">
        <v>0.09</v>
      </c>
      <c r="BC10" s="56"/>
      <c r="BD10" s="84">
        <v>1E-4</v>
      </c>
      <c r="BE10" s="92"/>
      <c r="BF10" s="56"/>
      <c r="BG10" s="56"/>
      <c r="BH10" s="56"/>
      <c r="BI10" s="84"/>
      <c r="BJ10" s="92"/>
      <c r="BK10" s="21"/>
      <c r="BL10" s="21"/>
      <c r="BM10" s="21"/>
      <c r="BN10" s="84"/>
      <c r="BO10" s="92"/>
      <c r="BP10" s="56"/>
      <c r="BQ10" s="56"/>
      <c r="BR10" s="56"/>
      <c r="BS10" s="84"/>
      <c r="BT10" s="92">
        <v>9</v>
      </c>
      <c r="BU10" s="21">
        <v>100</v>
      </c>
      <c r="BV10" s="21">
        <v>-4</v>
      </c>
      <c r="BW10" s="21">
        <v>13</v>
      </c>
      <c r="BX10" s="84">
        <v>2.0000000000000001E-4</v>
      </c>
      <c r="BY10" s="92"/>
      <c r="BZ10" s="21"/>
      <c r="CA10" s="21"/>
      <c r="CB10" s="21"/>
      <c r="CC10" s="56"/>
      <c r="CD10" s="92"/>
      <c r="CE10" s="21"/>
      <c r="CF10" s="21"/>
      <c r="CG10" s="21"/>
      <c r="CH10" s="84"/>
      <c r="CI10" s="92">
        <v>2</v>
      </c>
      <c r="CJ10" s="21">
        <v>1</v>
      </c>
      <c r="CK10" s="21"/>
      <c r="CL10" s="21"/>
      <c r="CM10" s="54">
        <v>1E-4</v>
      </c>
      <c r="CN10" s="92">
        <v>10</v>
      </c>
      <c r="CO10" s="21">
        <v>19</v>
      </c>
      <c r="CP10" s="21">
        <v>4</v>
      </c>
      <c r="CQ10" s="21"/>
      <c r="CR10" s="84">
        <v>5.0000000000000001E-4</v>
      </c>
      <c r="CS10" s="92"/>
      <c r="CT10" s="21"/>
      <c r="CU10" s="21"/>
      <c r="CV10" s="21"/>
      <c r="CW10" s="84"/>
      <c r="CX10" s="56"/>
      <c r="CY10" s="56"/>
      <c r="CZ10" s="56"/>
      <c r="DA10" s="56"/>
      <c r="DB10" s="56"/>
      <c r="DC10" s="92"/>
      <c r="DD10" s="56"/>
      <c r="DE10" s="56"/>
      <c r="DF10" s="56"/>
      <c r="DG10" s="57"/>
      <c r="DH10" s="56"/>
      <c r="DI10" s="21">
        <f>17030+3522</f>
        <v>20552</v>
      </c>
      <c r="DJ10" s="21">
        <f>1383+1264</f>
        <v>2647</v>
      </c>
      <c r="DK10" s="21">
        <f>911+705</f>
        <v>1616</v>
      </c>
      <c r="DL10" s="84">
        <v>9.2499999999999999E-2</v>
      </c>
      <c r="DM10" s="92"/>
      <c r="DN10" s="56"/>
      <c r="DO10" s="56"/>
      <c r="DP10" s="56"/>
      <c r="DQ10" s="56"/>
      <c r="DR10" s="92">
        <v>3</v>
      </c>
      <c r="DS10" s="56">
        <v>11.85</v>
      </c>
      <c r="DT10" s="56">
        <v>2.93</v>
      </c>
      <c r="DU10" s="56">
        <v>157.09</v>
      </c>
      <c r="DV10" s="54">
        <v>6.9999999999999999E-4</v>
      </c>
      <c r="DW10" s="54"/>
      <c r="DX10" s="54"/>
      <c r="DY10" s="54"/>
      <c r="DZ10" s="54"/>
      <c r="EA10" s="54"/>
      <c r="EB10" s="95"/>
      <c r="EC10" s="56"/>
      <c r="ED10" s="56"/>
      <c r="EE10" s="56"/>
      <c r="EF10" s="56"/>
      <c r="EG10" s="92"/>
      <c r="EH10" s="56"/>
      <c r="EI10" s="56"/>
      <c r="EJ10" s="56"/>
      <c r="EK10" s="84"/>
      <c r="EL10" s="92">
        <v>2</v>
      </c>
      <c r="EM10" s="56"/>
      <c r="EN10" s="56"/>
      <c r="EO10" s="56">
        <v>3.08</v>
      </c>
      <c r="EP10" s="105">
        <v>1.0000000000000001E-5</v>
      </c>
      <c r="EQ10" s="92">
        <v>4</v>
      </c>
      <c r="ER10" s="56">
        <v>11.88</v>
      </c>
      <c r="ES10" s="56">
        <v>10.5</v>
      </c>
      <c r="ET10" s="56"/>
      <c r="EU10" s="84">
        <v>4.4999999999999997E-3</v>
      </c>
      <c r="EV10" s="92"/>
      <c r="EW10" s="56"/>
      <c r="EX10" s="56"/>
      <c r="EY10" s="56"/>
      <c r="EZ10" s="56"/>
      <c r="FA10" s="96"/>
      <c r="FB10" s="21"/>
      <c r="FC10" s="21"/>
      <c r="FD10" s="21"/>
      <c r="FE10" s="54"/>
      <c r="FF10" s="21">
        <v>17</v>
      </c>
      <c r="FG10" s="56">
        <v>36.96</v>
      </c>
      <c r="FH10" s="56">
        <v>7.78</v>
      </c>
      <c r="FI10" s="56">
        <v>11.81</v>
      </c>
      <c r="FJ10" s="84">
        <v>2.0199999999999999E-2</v>
      </c>
      <c r="FK10" s="92">
        <v>19</v>
      </c>
      <c r="FL10" s="21">
        <v>13145</v>
      </c>
      <c r="FM10" s="21">
        <v>1068</v>
      </c>
      <c r="FN10" s="21">
        <v>57</v>
      </c>
      <c r="FO10" s="84">
        <v>9.6100000000000005E-2</v>
      </c>
    </row>
    <row r="11" spans="1:171" ht="30" x14ac:dyDescent="0.25">
      <c r="A11" s="86" t="s">
        <v>309</v>
      </c>
      <c r="B11" s="92"/>
      <c r="C11" s="56"/>
      <c r="D11" s="56"/>
      <c r="E11" s="56"/>
      <c r="F11" s="84"/>
      <c r="G11" s="92"/>
      <c r="H11" s="56"/>
      <c r="I11" s="56"/>
      <c r="J11" s="56"/>
      <c r="K11" s="84"/>
      <c r="L11" s="92"/>
      <c r="M11" s="56"/>
      <c r="N11" s="56"/>
      <c r="O11" s="56"/>
      <c r="P11" s="84"/>
      <c r="Q11" s="92"/>
      <c r="R11" s="21"/>
      <c r="S11" s="21"/>
      <c r="T11" s="56"/>
      <c r="U11" s="84"/>
      <c r="V11" s="92"/>
      <c r="W11" s="21"/>
      <c r="X11" s="21"/>
      <c r="Y11" s="21"/>
      <c r="Z11" s="56"/>
      <c r="AA11" s="92">
        <v>11</v>
      </c>
      <c r="AB11" s="21"/>
      <c r="AC11" s="21"/>
      <c r="AD11" s="21">
        <v>395</v>
      </c>
      <c r="AE11" s="84">
        <v>5.1000000000000004E-3</v>
      </c>
      <c r="AF11" s="56"/>
      <c r="AG11" s="56"/>
      <c r="AH11" s="56"/>
      <c r="AI11" s="56"/>
      <c r="AJ11" s="56"/>
      <c r="AK11" s="92"/>
      <c r="AL11" s="56"/>
      <c r="AM11" s="56"/>
      <c r="AN11" s="56"/>
      <c r="AO11" s="84"/>
      <c r="AP11" s="92"/>
      <c r="AQ11" s="56"/>
      <c r="AR11" s="56"/>
      <c r="AS11" s="56"/>
      <c r="AT11" s="84"/>
      <c r="AU11" s="21"/>
      <c r="AV11" s="56"/>
      <c r="AW11" s="56"/>
      <c r="AX11" s="56"/>
      <c r="AY11" s="56"/>
      <c r="AZ11" s="92"/>
      <c r="BA11" s="56"/>
      <c r="BB11" s="56"/>
      <c r="BC11" s="56"/>
      <c r="BD11" s="56"/>
      <c r="BE11" s="92">
        <v>11</v>
      </c>
      <c r="BF11" s="21">
        <v>2000</v>
      </c>
      <c r="BG11" s="21">
        <v>63</v>
      </c>
      <c r="BH11" s="21">
        <v>1967</v>
      </c>
      <c r="BI11" s="84">
        <v>4.58E-2</v>
      </c>
      <c r="BJ11" s="92"/>
      <c r="BK11" s="21"/>
      <c r="BL11" s="21"/>
      <c r="BM11" s="21"/>
      <c r="BN11" s="84"/>
      <c r="BO11" s="95"/>
      <c r="BP11" s="56"/>
      <c r="BQ11" s="56"/>
      <c r="BR11" s="56"/>
      <c r="BS11" s="56"/>
      <c r="BT11" s="92"/>
      <c r="BU11" s="56"/>
      <c r="BV11" s="56"/>
      <c r="BW11" s="56"/>
      <c r="BX11" s="56"/>
      <c r="BY11" s="92"/>
      <c r="BZ11" s="21"/>
      <c r="CA11" s="21"/>
      <c r="CB11" s="21"/>
      <c r="CC11" s="56"/>
      <c r="CD11" s="92"/>
      <c r="CE11" s="21"/>
      <c r="CF11" s="21"/>
      <c r="CG11" s="21"/>
      <c r="CH11" s="56"/>
      <c r="CI11" s="92"/>
      <c r="CJ11" s="21"/>
      <c r="CK11" s="21"/>
      <c r="CL11" s="21"/>
      <c r="CM11" s="57"/>
      <c r="CN11" s="92"/>
      <c r="CO11" s="21"/>
      <c r="CP11" s="21"/>
      <c r="CQ11" s="21"/>
      <c r="CR11" s="56"/>
      <c r="CS11" s="92"/>
      <c r="CT11" s="21"/>
      <c r="CU11" s="21"/>
      <c r="CV11" s="21"/>
      <c r="CW11" s="84"/>
      <c r="CX11" s="56"/>
      <c r="CY11" s="56"/>
      <c r="CZ11" s="56"/>
      <c r="DA11" s="56"/>
      <c r="DB11" s="56"/>
      <c r="DC11" s="92"/>
      <c r="DD11" s="56"/>
      <c r="DE11" s="56"/>
      <c r="DF11" s="56"/>
      <c r="DG11" s="57"/>
      <c r="DH11" s="56"/>
      <c r="DI11" s="21"/>
      <c r="DJ11" s="21"/>
      <c r="DK11" s="21"/>
      <c r="DL11" s="84"/>
      <c r="DM11" s="92"/>
      <c r="DN11" s="56"/>
      <c r="DO11" s="56"/>
      <c r="DP11" s="56"/>
      <c r="DQ11" s="56"/>
      <c r="DR11" s="95"/>
      <c r="DS11" s="56"/>
      <c r="DT11" s="56"/>
      <c r="DU11" s="56"/>
      <c r="DV11" s="56"/>
      <c r="DW11" s="56"/>
      <c r="DX11" s="56"/>
      <c r="DY11" s="56"/>
      <c r="DZ11" s="56"/>
      <c r="EA11" s="56"/>
      <c r="EB11" s="95"/>
      <c r="EC11" s="56"/>
      <c r="ED11" s="56"/>
      <c r="EE11" s="56"/>
      <c r="EF11" s="56"/>
      <c r="EG11" s="92"/>
      <c r="EH11" s="56"/>
      <c r="EI11" s="56"/>
      <c r="EJ11" s="56"/>
      <c r="EK11" s="56"/>
      <c r="EL11" s="92"/>
      <c r="EM11" s="56"/>
      <c r="EN11" s="56"/>
      <c r="EO11" s="56"/>
      <c r="EP11" s="56"/>
      <c r="EQ11" s="92"/>
      <c r="ER11" s="56"/>
      <c r="ES11" s="56"/>
      <c r="ET11" s="56"/>
      <c r="EU11" s="56"/>
      <c r="EV11" s="92"/>
      <c r="EW11" s="56"/>
      <c r="EX11" s="56"/>
      <c r="EY11" s="56"/>
      <c r="EZ11" s="56"/>
      <c r="FA11" s="95"/>
      <c r="FB11" s="21"/>
      <c r="FC11" s="21"/>
      <c r="FD11" s="21"/>
      <c r="FE11" s="54"/>
      <c r="FF11" s="21">
        <v>17</v>
      </c>
      <c r="FG11" s="56">
        <v>309.79000000000002</v>
      </c>
      <c r="FH11" s="56">
        <v>56.78</v>
      </c>
      <c r="FI11" s="56">
        <v>9.5</v>
      </c>
      <c r="FJ11" s="84">
        <v>0.1346</v>
      </c>
      <c r="FK11" s="92"/>
      <c r="FL11" s="21"/>
      <c r="FM11" s="21"/>
      <c r="FN11" s="21"/>
      <c r="FO11" s="56"/>
    </row>
    <row r="12" spans="1:171" x14ac:dyDescent="0.25">
      <c r="A12" s="86" t="s">
        <v>311</v>
      </c>
      <c r="B12" s="92"/>
      <c r="C12" s="56"/>
      <c r="D12" s="56"/>
      <c r="E12" s="56"/>
      <c r="F12" s="84"/>
      <c r="G12" s="92"/>
      <c r="H12" s="56"/>
      <c r="I12" s="56"/>
      <c r="J12" s="56"/>
      <c r="K12" s="84"/>
      <c r="L12" s="92"/>
      <c r="M12" s="56"/>
      <c r="N12" s="56"/>
      <c r="O12" s="56"/>
      <c r="P12" s="84"/>
      <c r="Q12" s="92"/>
      <c r="R12" s="21"/>
      <c r="S12" s="21"/>
      <c r="T12" s="56"/>
      <c r="U12" s="84"/>
      <c r="V12" s="92"/>
      <c r="W12" s="21"/>
      <c r="X12" s="21"/>
      <c r="Y12" s="21"/>
      <c r="Z12" s="56"/>
      <c r="AA12" s="92"/>
      <c r="AB12" s="21"/>
      <c r="AC12" s="21"/>
      <c r="AD12" s="21"/>
      <c r="AE12" s="84"/>
      <c r="AF12" s="56"/>
      <c r="AG12" s="56"/>
      <c r="AH12" s="56"/>
      <c r="AI12" s="56"/>
      <c r="AJ12" s="56"/>
      <c r="AK12" s="92"/>
      <c r="AL12" s="56"/>
      <c r="AM12" s="56"/>
      <c r="AN12" s="56"/>
      <c r="AO12" s="84"/>
      <c r="AP12" s="92"/>
      <c r="AQ12" s="56"/>
      <c r="AR12" s="56"/>
      <c r="AS12" s="56"/>
      <c r="AT12" s="84"/>
      <c r="AU12" s="21"/>
      <c r="AV12" s="56"/>
      <c r="AW12" s="56"/>
      <c r="AX12" s="56"/>
      <c r="AY12" s="56"/>
      <c r="AZ12" s="92"/>
      <c r="BA12" s="56"/>
      <c r="BB12" s="56"/>
      <c r="BC12" s="56"/>
      <c r="BD12" s="56"/>
      <c r="BE12" s="92"/>
      <c r="BF12" s="56"/>
      <c r="BG12" s="56"/>
      <c r="BH12" s="56"/>
      <c r="BI12" s="56"/>
      <c r="BJ12" s="92"/>
      <c r="BK12" s="21"/>
      <c r="BL12" s="21"/>
      <c r="BM12" s="21"/>
      <c r="BN12" s="84"/>
      <c r="BO12" s="95"/>
      <c r="BP12" s="56"/>
      <c r="BQ12" s="56"/>
      <c r="BR12" s="56"/>
      <c r="BS12" s="56"/>
      <c r="BT12" s="92">
        <v>18</v>
      </c>
      <c r="BU12" s="21">
        <v>8815</v>
      </c>
      <c r="BV12" s="21">
        <v>145</v>
      </c>
      <c r="BW12" s="21">
        <v>20609</v>
      </c>
      <c r="BX12" s="84">
        <v>5.6300000000000003E-2</v>
      </c>
      <c r="BY12" s="92"/>
      <c r="BZ12" s="21"/>
      <c r="CA12" s="21"/>
      <c r="CB12" s="21"/>
      <c r="CC12" s="56"/>
      <c r="CD12" s="92"/>
      <c r="CE12" s="21"/>
      <c r="CF12" s="21"/>
      <c r="CG12" s="21"/>
      <c r="CH12" s="56"/>
      <c r="CI12" s="92"/>
      <c r="CJ12" s="21"/>
      <c r="CK12" s="21"/>
      <c r="CL12" s="21"/>
      <c r="CM12" s="57"/>
      <c r="CN12" s="92"/>
      <c r="CO12" s="21"/>
      <c r="CP12" s="21"/>
      <c r="CQ12" s="21"/>
      <c r="CR12" s="56"/>
      <c r="CS12" s="92"/>
      <c r="CT12" s="21"/>
      <c r="CU12" s="21"/>
      <c r="CV12" s="21"/>
      <c r="CW12" s="84"/>
      <c r="CX12" s="56"/>
      <c r="CY12" s="56"/>
      <c r="CZ12" s="56"/>
      <c r="DA12" s="56"/>
      <c r="DB12" s="56"/>
      <c r="DC12" s="92"/>
      <c r="DD12" s="56"/>
      <c r="DE12" s="56"/>
      <c r="DF12" s="56"/>
      <c r="DG12" s="57"/>
      <c r="DH12" s="56"/>
      <c r="DI12" s="21"/>
      <c r="DJ12" s="21"/>
      <c r="DK12" s="21"/>
      <c r="DL12" s="84"/>
      <c r="DM12" s="92"/>
      <c r="DN12" s="56"/>
      <c r="DO12" s="56"/>
      <c r="DP12" s="56"/>
      <c r="DQ12" s="56"/>
      <c r="DR12" s="95"/>
      <c r="DS12" s="56"/>
      <c r="DT12" s="56"/>
      <c r="DU12" s="56"/>
      <c r="DV12" s="56"/>
      <c r="DW12" s="56"/>
      <c r="DX12" s="56"/>
      <c r="DY12" s="56"/>
      <c r="DZ12" s="56"/>
      <c r="EA12" s="56"/>
      <c r="EB12" s="95"/>
      <c r="EC12" s="56"/>
      <c r="ED12" s="56"/>
      <c r="EE12" s="56"/>
      <c r="EF12" s="56"/>
      <c r="EG12" s="92"/>
      <c r="EH12" s="56"/>
      <c r="EI12" s="56"/>
      <c r="EJ12" s="56"/>
      <c r="EK12" s="56"/>
      <c r="EL12" s="92"/>
      <c r="EM12" s="56"/>
      <c r="EN12" s="56"/>
      <c r="EO12" s="56"/>
      <c r="EP12" s="56"/>
      <c r="EQ12" s="92"/>
      <c r="ER12" s="56"/>
      <c r="ES12" s="56"/>
      <c r="ET12" s="56"/>
      <c r="EU12" s="56"/>
      <c r="EV12" s="92"/>
      <c r="EW12" s="56"/>
      <c r="EX12" s="56"/>
      <c r="EY12" s="56"/>
      <c r="EZ12" s="56"/>
      <c r="FA12" s="95"/>
      <c r="FB12" s="21"/>
      <c r="FC12" s="21"/>
      <c r="FD12" s="21"/>
      <c r="FE12" s="54"/>
      <c r="FF12" s="21"/>
      <c r="FG12" s="56"/>
      <c r="FH12" s="56"/>
      <c r="FI12" s="56"/>
      <c r="FJ12" s="84"/>
      <c r="FK12" s="92"/>
      <c r="FL12" s="21"/>
      <c r="FM12" s="21"/>
      <c r="FN12" s="21"/>
      <c r="FO12" s="56"/>
    </row>
    <row r="13" spans="1:171" x14ac:dyDescent="0.25">
      <c r="A13" s="56" t="s">
        <v>310</v>
      </c>
      <c r="B13" s="92"/>
      <c r="C13" s="56"/>
      <c r="D13" s="56"/>
      <c r="E13" s="56"/>
      <c r="F13" s="84"/>
      <c r="G13" s="92"/>
      <c r="H13" s="56"/>
      <c r="I13" s="56"/>
      <c r="J13" s="56"/>
      <c r="K13" s="84"/>
      <c r="L13" s="92"/>
      <c r="M13" s="56"/>
      <c r="N13" s="56"/>
      <c r="O13" s="56"/>
      <c r="P13" s="84"/>
      <c r="Q13" s="92"/>
      <c r="R13" s="21"/>
      <c r="S13" s="21"/>
      <c r="T13" s="56"/>
      <c r="U13" s="84"/>
      <c r="V13" s="92"/>
      <c r="W13" s="21"/>
      <c r="X13" s="21"/>
      <c r="Y13" s="21"/>
      <c r="Z13" s="56"/>
      <c r="AA13" s="92"/>
      <c r="AB13" s="21"/>
      <c r="AC13" s="21"/>
      <c r="AD13" s="21"/>
      <c r="AE13" s="56"/>
      <c r="AF13" s="56"/>
      <c r="AG13" s="56"/>
      <c r="AH13" s="56"/>
      <c r="AI13" s="56"/>
      <c r="AJ13" s="56"/>
      <c r="AK13" s="92"/>
      <c r="AL13" s="56"/>
      <c r="AM13" s="56"/>
      <c r="AN13" s="56"/>
      <c r="AO13" s="84"/>
      <c r="AP13" s="92"/>
      <c r="AQ13" s="56"/>
      <c r="AR13" s="56"/>
      <c r="AS13" s="56"/>
      <c r="AT13" s="84"/>
      <c r="AU13" s="21"/>
      <c r="AV13" s="56"/>
      <c r="AW13" s="56"/>
      <c r="AX13" s="56"/>
      <c r="AY13" s="56"/>
      <c r="AZ13" s="92"/>
      <c r="BA13" s="56"/>
      <c r="BB13" s="56"/>
      <c r="BC13" s="56"/>
      <c r="BD13" s="56"/>
      <c r="BE13" s="92"/>
      <c r="BF13" s="56"/>
      <c r="BG13" s="56"/>
      <c r="BH13" s="56"/>
      <c r="BI13" s="84"/>
      <c r="BJ13" s="92"/>
      <c r="BK13" s="21"/>
      <c r="BL13" s="21"/>
      <c r="BM13" s="21"/>
      <c r="BN13" s="84"/>
      <c r="BO13" s="92">
        <v>22</v>
      </c>
      <c r="BP13" s="56"/>
      <c r="BQ13" s="56"/>
      <c r="BR13" s="21">
        <v>7503.3</v>
      </c>
      <c r="BS13" s="84">
        <v>1.7299999999999999E-2</v>
      </c>
      <c r="BT13" s="92"/>
      <c r="BU13" s="21"/>
      <c r="BV13" s="21"/>
      <c r="BW13" s="21"/>
      <c r="BX13" s="56"/>
      <c r="BY13" s="92">
        <v>15</v>
      </c>
      <c r="BZ13" s="21">
        <v>6311</v>
      </c>
      <c r="CA13" s="21">
        <v>442</v>
      </c>
      <c r="CB13" s="21">
        <v>2470</v>
      </c>
      <c r="CC13" s="84">
        <v>0.03</v>
      </c>
      <c r="CD13" s="92">
        <v>3</v>
      </c>
      <c r="CE13" s="21"/>
      <c r="CF13" s="21"/>
      <c r="CG13" s="21">
        <v>4</v>
      </c>
      <c r="CH13" s="84">
        <v>1E-3</v>
      </c>
      <c r="CI13" s="92"/>
      <c r="CJ13" s="21"/>
      <c r="CK13" s="21"/>
      <c r="CL13" s="21"/>
      <c r="CM13" s="57"/>
      <c r="CN13" s="92">
        <v>3</v>
      </c>
      <c r="CO13" s="21"/>
      <c r="CP13" s="21"/>
      <c r="CQ13" s="21">
        <v>195</v>
      </c>
      <c r="CR13" s="84">
        <v>3.8E-3</v>
      </c>
      <c r="CS13" s="92"/>
      <c r="CT13" s="21"/>
      <c r="CU13" s="21"/>
      <c r="CV13" s="21"/>
      <c r="CW13" s="84"/>
      <c r="CX13" s="56"/>
      <c r="CY13" s="56"/>
      <c r="CZ13" s="56"/>
      <c r="DA13" s="56"/>
      <c r="DB13" s="56"/>
      <c r="DC13" s="92"/>
      <c r="DD13" s="56"/>
      <c r="DE13" s="56"/>
      <c r="DF13" s="56"/>
      <c r="DG13" s="57"/>
      <c r="DH13" s="56"/>
      <c r="DI13" s="21"/>
      <c r="DJ13" s="21"/>
      <c r="DK13" s="21"/>
      <c r="DL13" s="84"/>
      <c r="DM13" s="92"/>
      <c r="DN13" s="56"/>
      <c r="DO13" s="56"/>
      <c r="DP13" s="56"/>
      <c r="DQ13" s="56"/>
      <c r="DR13" s="92">
        <v>24</v>
      </c>
      <c r="DS13" s="56">
        <v>25045.040000000001</v>
      </c>
      <c r="DT13" s="56">
        <v>1225.6300000000001</v>
      </c>
      <c r="DU13" s="56">
        <v>9194.35</v>
      </c>
      <c r="DV13" s="54">
        <v>0.13850000000000001</v>
      </c>
      <c r="DW13" s="54"/>
      <c r="DX13" s="54"/>
      <c r="DY13" s="54"/>
      <c r="DZ13" s="54"/>
      <c r="EA13" s="54"/>
      <c r="EB13" s="92">
        <v>1</v>
      </c>
      <c r="EC13" s="56"/>
      <c r="ED13" s="56"/>
      <c r="EE13" s="56">
        <v>512.4</v>
      </c>
      <c r="EF13" s="84">
        <v>8.9999999999999993E-3</v>
      </c>
      <c r="EG13" s="92"/>
      <c r="EH13" s="56"/>
      <c r="EI13" s="56"/>
      <c r="EJ13" s="56"/>
      <c r="EK13" s="56"/>
      <c r="EL13" s="92">
        <v>17</v>
      </c>
      <c r="EM13" s="56"/>
      <c r="EN13" s="56"/>
      <c r="EO13" s="56">
        <v>1879.12</v>
      </c>
      <c r="EP13" s="84">
        <v>8.6999999999999994E-3</v>
      </c>
      <c r="EQ13" s="92"/>
      <c r="ER13" s="56"/>
      <c r="ES13" s="56"/>
      <c r="ET13" s="56"/>
      <c r="EU13" s="56"/>
      <c r="EV13" s="92"/>
      <c r="EW13" s="56"/>
      <c r="EX13" s="56"/>
      <c r="EY13" s="56"/>
      <c r="EZ13" s="56"/>
      <c r="FA13" s="92">
        <v>18</v>
      </c>
      <c r="FB13" s="21">
        <v>3414</v>
      </c>
      <c r="FC13" s="21">
        <v>159</v>
      </c>
      <c r="FD13" s="21">
        <v>1413</v>
      </c>
      <c r="FE13" s="54">
        <v>1.77E-2</v>
      </c>
      <c r="FF13" s="21"/>
      <c r="FG13" s="56"/>
      <c r="FH13" s="56"/>
      <c r="FI13" s="56"/>
      <c r="FJ13" s="84"/>
      <c r="FK13" s="92"/>
      <c r="FL13" s="21"/>
      <c r="FM13" s="21"/>
      <c r="FN13" s="21"/>
      <c r="FO13" s="56"/>
    </row>
    <row r="14" spans="1:171" s="90" customFormat="1" x14ac:dyDescent="0.25">
      <c r="A14" s="87" t="s">
        <v>302</v>
      </c>
      <c r="B14" s="93">
        <v>4</v>
      </c>
      <c r="C14" s="87">
        <v>1035.3699999999999</v>
      </c>
      <c r="D14" s="87">
        <v>21.62</v>
      </c>
      <c r="E14" s="87"/>
      <c r="F14" s="88">
        <v>1</v>
      </c>
      <c r="G14" s="93">
        <v>6</v>
      </c>
      <c r="H14" s="87">
        <v>63.31</v>
      </c>
      <c r="I14" s="87">
        <v>30.15</v>
      </c>
      <c r="J14" s="87">
        <v>0.09</v>
      </c>
      <c r="K14" s="88">
        <v>1</v>
      </c>
      <c r="L14" s="93">
        <v>50</v>
      </c>
      <c r="M14" s="87">
        <v>517552.68</v>
      </c>
      <c r="N14" s="87">
        <v>17251.580000000002</v>
      </c>
      <c r="O14" s="87"/>
      <c r="P14" s="88">
        <v>1</v>
      </c>
      <c r="Q14" s="93">
        <v>4</v>
      </c>
      <c r="R14" s="29">
        <v>33393</v>
      </c>
      <c r="S14" s="29">
        <v>290</v>
      </c>
      <c r="T14" s="87"/>
      <c r="U14" s="88">
        <v>1</v>
      </c>
      <c r="V14" s="93">
        <v>378</v>
      </c>
      <c r="W14" s="29">
        <v>234199</v>
      </c>
      <c r="X14" s="29">
        <v>20568</v>
      </c>
      <c r="Y14" s="29">
        <v>77488</v>
      </c>
      <c r="Z14" s="88">
        <v>1</v>
      </c>
      <c r="AA14" s="93">
        <v>77</v>
      </c>
      <c r="AB14" s="29">
        <v>67956</v>
      </c>
      <c r="AC14" s="29">
        <v>5541</v>
      </c>
      <c r="AD14" s="29">
        <v>3356</v>
      </c>
      <c r="AE14" s="88">
        <v>1</v>
      </c>
      <c r="AF14" s="87"/>
      <c r="AG14" s="87">
        <v>50193.89</v>
      </c>
      <c r="AH14" s="87">
        <v>1696.38</v>
      </c>
      <c r="AI14" s="87">
        <v>6595.72</v>
      </c>
      <c r="AJ14" s="88">
        <v>1</v>
      </c>
      <c r="AK14" s="93">
        <v>3</v>
      </c>
      <c r="AL14" s="87">
        <v>633.66</v>
      </c>
      <c r="AM14" s="87">
        <v>3.77</v>
      </c>
      <c r="AN14" s="87">
        <v>1.49</v>
      </c>
      <c r="AO14" s="88">
        <v>1</v>
      </c>
      <c r="AP14" s="93">
        <v>8</v>
      </c>
      <c r="AQ14" s="87">
        <v>11033.59</v>
      </c>
      <c r="AR14" s="87">
        <v>424.58</v>
      </c>
      <c r="AS14" s="87"/>
      <c r="AT14" s="88">
        <v>1</v>
      </c>
      <c r="AU14" s="29">
        <v>25</v>
      </c>
      <c r="AV14" s="87">
        <v>2774.51</v>
      </c>
      <c r="AW14" s="87">
        <v>230.75</v>
      </c>
      <c r="AX14" s="87">
        <v>42.93</v>
      </c>
      <c r="AY14" s="88">
        <v>1</v>
      </c>
      <c r="AZ14" s="93">
        <v>11</v>
      </c>
      <c r="BA14" s="87">
        <v>34095.78</v>
      </c>
      <c r="BB14" s="87">
        <v>3656.41</v>
      </c>
      <c r="BC14" s="87"/>
      <c r="BD14" s="88">
        <v>1</v>
      </c>
      <c r="BE14" s="93"/>
      <c r="BF14" s="29"/>
      <c r="BG14" s="87"/>
      <c r="BH14" s="87"/>
      <c r="BI14" s="88"/>
      <c r="BJ14" s="93">
        <v>46</v>
      </c>
      <c r="BK14" s="29">
        <v>4470</v>
      </c>
      <c r="BL14" s="29">
        <v>19508</v>
      </c>
      <c r="BM14" s="29">
        <v>983</v>
      </c>
      <c r="BN14" s="88">
        <v>1</v>
      </c>
      <c r="BO14" s="93">
        <v>213</v>
      </c>
      <c r="BP14" s="29">
        <v>382979.9</v>
      </c>
      <c r="BQ14" s="29">
        <v>13118.2</v>
      </c>
      <c r="BR14" s="29">
        <v>38803.1</v>
      </c>
      <c r="BS14" s="88">
        <v>1</v>
      </c>
      <c r="BT14" s="93">
        <v>272</v>
      </c>
      <c r="BU14" s="29">
        <v>428203</v>
      </c>
      <c r="BV14" s="29">
        <v>23603</v>
      </c>
      <c r="BW14" s="29">
        <v>73257</v>
      </c>
      <c r="BX14" s="88">
        <v>1</v>
      </c>
      <c r="BY14" s="93">
        <v>198</v>
      </c>
      <c r="BZ14" s="29">
        <v>223038</v>
      </c>
      <c r="CA14" s="29">
        <v>16576</v>
      </c>
      <c r="CB14" s="29">
        <v>48601</v>
      </c>
      <c r="CC14" s="88">
        <v>1</v>
      </c>
      <c r="CD14" s="93">
        <v>8</v>
      </c>
      <c r="CE14" s="29">
        <v>3210</v>
      </c>
      <c r="CF14" s="29">
        <v>446</v>
      </c>
      <c r="CG14" s="29">
        <v>6</v>
      </c>
      <c r="CH14" s="88">
        <v>1</v>
      </c>
      <c r="CI14" s="93">
        <v>23</v>
      </c>
      <c r="CJ14" s="29">
        <v>11790</v>
      </c>
      <c r="CK14" s="29">
        <v>2880</v>
      </c>
      <c r="CL14" s="29">
        <v>392</v>
      </c>
      <c r="CM14" s="88">
        <v>1</v>
      </c>
      <c r="CN14" s="93">
        <v>52</v>
      </c>
      <c r="CO14" s="29">
        <v>33759</v>
      </c>
      <c r="CP14" s="29">
        <v>15709</v>
      </c>
      <c r="CQ14" s="29">
        <v>1420</v>
      </c>
      <c r="CR14" s="88">
        <v>1</v>
      </c>
      <c r="CS14" s="93">
        <v>3</v>
      </c>
      <c r="CT14" s="29">
        <v>21490</v>
      </c>
      <c r="CU14" s="29">
        <v>72</v>
      </c>
      <c r="CV14" s="29"/>
      <c r="CW14" s="88">
        <v>1</v>
      </c>
      <c r="CX14" s="87"/>
      <c r="CY14" s="87"/>
      <c r="CZ14" s="87"/>
      <c r="DA14" s="87"/>
      <c r="DB14" s="87"/>
      <c r="DC14" s="93">
        <v>333</v>
      </c>
      <c r="DD14" s="87">
        <v>70455.05</v>
      </c>
      <c r="DE14" s="87">
        <v>10334.31</v>
      </c>
      <c r="DF14" s="87">
        <v>64158.81</v>
      </c>
      <c r="DG14" s="89">
        <v>1</v>
      </c>
      <c r="DH14" s="87"/>
      <c r="DI14" s="29"/>
      <c r="DJ14" s="29"/>
      <c r="DK14" s="29"/>
      <c r="DL14" s="88"/>
      <c r="DM14" s="93">
        <v>8</v>
      </c>
      <c r="DN14" s="87">
        <v>799</v>
      </c>
      <c r="DO14" s="87">
        <v>1137.6600000000001</v>
      </c>
      <c r="DP14" s="87">
        <v>535.54999999999995</v>
      </c>
      <c r="DQ14" s="88">
        <v>1</v>
      </c>
      <c r="DR14" s="93">
        <v>201</v>
      </c>
      <c r="DS14" s="87">
        <v>224000.18</v>
      </c>
      <c r="DT14" s="87">
        <v>11841.06</v>
      </c>
      <c r="DU14" s="87">
        <v>20181.13</v>
      </c>
      <c r="DV14" s="89">
        <v>1</v>
      </c>
      <c r="DW14" s="87">
        <v>2</v>
      </c>
      <c r="DX14" s="87">
        <v>126</v>
      </c>
      <c r="DY14" s="89"/>
      <c r="DZ14" s="89"/>
      <c r="EA14" s="89">
        <v>1</v>
      </c>
      <c r="EB14" s="93"/>
      <c r="EC14" s="87">
        <v>39085.01</v>
      </c>
      <c r="ED14" s="87">
        <v>184</v>
      </c>
      <c r="EE14" s="29">
        <v>18482.8</v>
      </c>
      <c r="EF14" s="89">
        <v>1</v>
      </c>
      <c r="EG14" s="93">
        <v>63</v>
      </c>
      <c r="EH14" s="87">
        <v>88945.46</v>
      </c>
      <c r="EI14" s="87">
        <v>4383.8</v>
      </c>
      <c r="EJ14" s="87">
        <v>5922.02</v>
      </c>
      <c r="EK14" s="88">
        <v>1</v>
      </c>
      <c r="EL14" s="93">
        <v>139</v>
      </c>
      <c r="EM14" s="87">
        <v>199722.18</v>
      </c>
      <c r="EN14" s="87">
        <v>11690.29</v>
      </c>
      <c r="EO14" s="87">
        <v>4493.0600000000004</v>
      </c>
      <c r="EP14" s="88">
        <v>1</v>
      </c>
      <c r="EQ14" s="93">
        <v>21</v>
      </c>
      <c r="ER14" s="87">
        <v>3756.165</v>
      </c>
      <c r="ES14" s="87">
        <v>658.8</v>
      </c>
      <c r="ET14" s="87">
        <v>569.9</v>
      </c>
      <c r="EU14" s="87">
        <v>100</v>
      </c>
      <c r="EV14" s="93">
        <v>3</v>
      </c>
      <c r="EW14" s="87">
        <v>126946</v>
      </c>
      <c r="EX14" s="87">
        <v>312</v>
      </c>
      <c r="EY14" s="87"/>
      <c r="EZ14" s="89">
        <v>1</v>
      </c>
      <c r="FA14" s="93">
        <v>271</v>
      </c>
      <c r="FB14" s="29">
        <v>241997</v>
      </c>
      <c r="FC14" s="29">
        <v>18061</v>
      </c>
      <c r="FD14" s="29">
        <v>21411</v>
      </c>
      <c r="FE14" s="89">
        <v>1</v>
      </c>
      <c r="FF14" s="29">
        <v>319</v>
      </c>
      <c r="FG14" s="87">
        <v>1212.6199999999999</v>
      </c>
      <c r="FH14" s="87">
        <v>336.39</v>
      </c>
      <c r="FI14" s="87">
        <v>1245.21</v>
      </c>
      <c r="FJ14" s="88">
        <v>1</v>
      </c>
      <c r="FK14" s="93">
        <v>58</v>
      </c>
      <c r="FL14" s="29">
        <v>133521</v>
      </c>
      <c r="FM14" s="29">
        <v>10530</v>
      </c>
      <c r="FN14" s="29">
        <v>4519</v>
      </c>
      <c r="FO14" s="88">
        <v>1</v>
      </c>
    </row>
    <row r="15" spans="1:171" x14ac:dyDescent="0.25">
      <c r="F15" s="82"/>
      <c r="AT15" s="82"/>
      <c r="FB15" s="4"/>
      <c r="FC15" s="4"/>
      <c r="FD15" s="4"/>
    </row>
    <row r="16" spans="1:171" x14ac:dyDescent="0.25">
      <c r="FB16" s="4"/>
      <c r="FC16" s="4"/>
      <c r="FD16" s="4"/>
    </row>
  </sheetData>
  <mergeCells count="137">
    <mergeCell ref="DW3:EA3"/>
    <mergeCell ref="DW4:DW5"/>
    <mergeCell ref="DX4:DZ4"/>
    <mergeCell ref="EA4:EA5"/>
    <mergeCell ref="A4:A5"/>
    <mergeCell ref="G4:G5"/>
    <mergeCell ref="H4:J4"/>
    <mergeCell ref="K4:K5"/>
    <mergeCell ref="G3:K3"/>
    <mergeCell ref="L3:P3"/>
    <mergeCell ref="L4:L5"/>
    <mergeCell ref="M4:O4"/>
    <mergeCell ref="P4:P5"/>
    <mergeCell ref="B3:F3"/>
    <mergeCell ref="C4:E4"/>
    <mergeCell ref="B4:B5"/>
    <mergeCell ref="F4:F5"/>
    <mergeCell ref="AA3:AE3"/>
    <mergeCell ref="AA4:AA5"/>
    <mergeCell ref="AB4:AD4"/>
    <mergeCell ref="AE4:AE5"/>
    <mergeCell ref="AF3:AJ3"/>
    <mergeCell ref="AF4:AF5"/>
    <mergeCell ref="AG4:AI4"/>
    <mergeCell ref="AJ4:AJ5"/>
    <mergeCell ref="Q3:U3"/>
    <mergeCell ref="Q4:Q5"/>
    <mergeCell ref="R4:T4"/>
    <mergeCell ref="U4:U5"/>
    <mergeCell ref="V3:Z3"/>
    <mergeCell ref="V4:V5"/>
    <mergeCell ref="W4:Y4"/>
    <mergeCell ref="Z4:Z5"/>
    <mergeCell ref="AU3:AY3"/>
    <mergeCell ref="AU4:AU5"/>
    <mergeCell ref="AV4:AX4"/>
    <mergeCell ref="AY4:AY5"/>
    <mergeCell ref="AK3:AO3"/>
    <mergeCell ref="AK4:AK5"/>
    <mergeCell ref="AL4:AN4"/>
    <mergeCell ref="AO4:AO5"/>
    <mergeCell ref="AP3:AT3"/>
    <mergeCell ref="AP4:AP5"/>
    <mergeCell ref="AQ4:AS4"/>
    <mergeCell ref="AT4:AT5"/>
    <mergeCell ref="BI4:BI5"/>
    <mergeCell ref="BE3:BI3"/>
    <mergeCell ref="BJ3:BN3"/>
    <mergeCell ref="BJ4:BJ5"/>
    <mergeCell ref="BK4:BM4"/>
    <mergeCell ref="BN4:BN5"/>
    <mergeCell ref="AZ3:BD3"/>
    <mergeCell ref="AZ4:AZ5"/>
    <mergeCell ref="BA4:BC4"/>
    <mergeCell ref="BD4:BD5"/>
    <mergeCell ref="BE4:BE5"/>
    <mergeCell ref="BF4:BH4"/>
    <mergeCell ref="BY3:CC3"/>
    <mergeCell ref="BY4:BY5"/>
    <mergeCell ref="BZ4:CB4"/>
    <mergeCell ref="CC4:CC5"/>
    <mergeCell ref="CD3:CH3"/>
    <mergeCell ref="CD4:CD5"/>
    <mergeCell ref="CE4:CG4"/>
    <mergeCell ref="CH4:CH5"/>
    <mergeCell ref="BO3:BS3"/>
    <mergeCell ref="BO4:BO5"/>
    <mergeCell ref="BP4:BR4"/>
    <mergeCell ref="BS4:BS5"/>
    <mergeCell ref="BT3:BX3"/>
    <mergeCell ref="BT4:BT5"/>
    <mergeCell ref="BU4:BW4"/>
    <mergeCell ref="BX4:BX5"/>
    <mergeCell ref="CS3:CW3"/>
    <mergeCell ref="CS4:CS5"/>
    <mergeCell ref="CT4:CV4"/>
    <mergeCell ref="CW4:CW5"/>
    <mergeCell ref="CX3:DB3"/>
    <mergeCell ref="CX4:CX5"/>
    <mergeCell ref="CY4:DA4"/>
    <mergeCell ref="DB4:DB5"/>
    <mergeCell ref="CI3:CM3"/>
    <mergeCell ref="CI4:CI5"/>
    <mergeCell ref="CJ4:CL4"/>
    <mergeCell ref="CM4:CM5"/>
    <mergeCell ref="CN3:CR3"/>
    <mergeCell ref="CN4:CN5"/>
    <mergeCell ref="CO4:CQ4"/>
    <mergeCell ref="CR4:CR5"/>
    <mergeCell ref="DM3:DQ3"/>
    <mergeCell ref="DM4:DM5"/>
    <mergeCell ref="DN4:DP4"/>
    <mergeCell ref="DQ4:DQ5"/>
    <mergeCell ref="DR3:DV3"/>
    <mergeCell ref="DR4:DR5"/>
    <mergeCell ref="DS4:DU4"/>
    <mergeCell ref="DV4:DV5"/>
    <mergeCell ref="DC3:DG3"/>
    <mergeCell ref="DC4:DC5"/>
    <mergeCell ref="DD4:DF4"/>
    <mergeCell ref="DG4:DG5"/>
    <mergeCell ref="DH3:DL3"/>
    <mergeCell ref="DH4:DH5"/>
    <mergeCell ref="DI4:DK4"/>
    <mergeCell ref="DL4:DL5"/>
    <mergeCell ref="EL3:EP3"/>
    <mergeCell ref="EL4:EL5"/>
    <mergeCell ref="EM4:EO4"/>
    <mergeCell ref="EP4:EP5"/>
    <mergeCell ref="EQ3:EU3"/>
    <mergeCell ref="EQ4:EQ5"/>
    <mergeCell ref="ER4:ET4"/>
    <mergeCell ref="EU4:EU5"/>
    <mergeCell ref="EB3:EF3"/>
    <mergeCell ref="EB4:EB5"/>
    <mergeCell ref="EC4:EE4"/>
    <mergeCell ref="EF4:EF5"/>
    <mergeCell ref="EG3:EK3"/>
    <mergeCell ref="EG4:EG5"/>
    <mergeCell ref="EH4:EJ4"/>
    <mergeCell ref="EK4:EK5"/>
    <mergeCell ref="FK3:FO3"/>
    <mergeCell ref="FK4:FK5"/>
    <mergeCell ref="FL4:FN4"/>
    <mergeCell ref="FO4:FO5"/>
    <mergeCell ref="FF3:FJ3"/>
    <mergeCell ref="FF4:FF5"/>
    <mergeCell ref="FG4:FI4"/>
    <mergeCell ref="FJ4:FJ5"/>
    <mergeCell ref="EV3:EZ3"/>
    <mergeCell ref="EV4:EV5"/>
    <mergeCell ref="EW4:EY4"/>
    <mergeCell ref="EZ4:EZ5"/>
    <mergeCell ref="FA3:FE3"/>
    <mergeCell ref="FA4:FA5"/>
    <mergeCell ref="FB4:FD4"/>
    <mergeCell ref="FE4:F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5"/>
  <sheetViews>
    <sheetView tabSelected="1" workbookViewId="0">
      <pane xSplit="1" ySplit="3" topLeftCell="AD4" activePane="bottomRight" state="frozen"/>
      <selection pane="topRight" activeCell="B1" sqref="B1"/>
      <selection pane="bottomLeft" activeCell="A4" sqref="A4"/>
      <selection pane="bottomRight" activeCell="AI18" sqref="AI18"/>
    </sheetView>
  </sheetViews>
  <sheetFormatPr defaultRowHeight="15" x14ac:dyDescent="0.25"/>
  <cols>
    <col min="1" max="1" width="38.5703125" style="4" customWidth="1"/>
    <col min="2" max="103" width="16" style="4" customWidth="1"/>
    <col min="104" max="16384" width="9.140625" style="4"/>
  </cols>
  <sheetData>
    <row r="1" spans="1:103" ht="18.75" x14ac:dyDescent="0.3">
      <c r="A1" s="41" t="s">
        <v>325</v>
      </c>
    </row>
    <row r="2" spans="1:103" x14ac:dyDescent="0.25">
      <c r="A2" s="4" t="s">
        <v>284</v>
      </c>
      <c r="E2" s="97"/>
    </row>
    <row r="3" spans="1:103" s="214" customFormat="1" x14ac:dyDescent="0.25">
      <c r="A3" s="174" t="s">
        <v>0</v>
      </c>
      <c r="B3" s="201" t="s">
        <v>1</v>
      </c>
      <c r="C3" s="201"/>
      <c r="D3" s="201"/>
      <c r="E3" s="201" t="s">
        <v>2</v>
      </c>
      <c r="F3" s="201"/>
      <c r="G3" s="201"/>
      <c r="H3" s="201" t="s">
        <v>3</v>
      </c>
      <c r="I3" s="201"/>
      <c r="J3" s="201"/>
      <c r="K3" s="201" t="s">
        <v>4</v>
      </c>
      <c r="L3" s="201"/>
      <c r="M3" s="201"/>
      <c r="N3" s="201" t="s">
        <v>5</v>
      </c>
      <c r="O3" s="201"/>
      <c r="P3" s="201"/>
      <c r="Q3" s="201" t="s">
        <v>6</v>
      </c>
      <c r="R3" s="201"/>
      <c r="S3" s="201"/>
      <c r="T3" s="201" t="s">
        <v>7</v>
      </c>
      <c r="U3" s="201"/>
      <c r="V3" s="201"/>
      <c r="W3" s="201" t="s">
        <v>8</v>
      </c>
      <c r="X3" s="201"/>
      <c r="Y3" s="201"/>
      <c r="Z3" s="201" t="s">
        <v>9</v>
      </c>
      <c r="AA3" s="201"/>
      <c r="AB3" s="201"/>
      <c r="AC3" s="201" t="s">
        <v>10</v>
      </c>
      <c r="AD3" s="201"/>
      <c r="AE3" s="201"/>
      <c r="AF3" s="201" t="s">
        <v>11</v>
      </c>
      <c r="AG3" s="201"/>
      <c r="AH3" s="201"/>
      <c r="AI3" s="201" t="s">
        <v>12</v>
      </c>
      <c r="AJ3" s="201"/>
      <c r="AK3" s="201"/>
      <c r="AL3" s="201" t="s">
        <v>13</v>
      </c>
      <c r="AM3" s="201"/>
      <c r="AN3" s="201"/>
      <c r="AO3" s="201" t="s">
        <v>14</v>
      </c>
      <c r="AP3" s="201"/>
      <c r="AQ3" s="201"/>
      <c r="AR3" s="201" t="s">
        <v>15</v>
      </c>
      <c r="AS3" s="201"/>
      <c r="AT3" s="201"/>
      <c r="AU3" s="201" t="s">
        <v>16</v>
      </c>
      <c r="AV3" s="201"/>
      <c r="AW3" s="201"/>
      <c r="AX3" s="201" t="s">
        <v>17</v>
      </c>
      <c r="AY3" s="201"/>
      <c r="AZ3" s="201"/>
      <c r="BA3" s="201" t="s">
        <v>18</v>
      </c>
      <c r="BB3" s="201"/>
      <c r="BC3" s="201"/>
      <c r="BD3" s="201" t="s">
        <v>19</v>
      </c>
      <c r="BE3" s="201"/>
      <c r="BF3" s="201"/>
      <c r="BG3" s="201" t="s">
        <v>20</v>
      </c>
      <c r="BH3" s="201"/>
      <c r="BI3" s="201"/>
      <c r="BJ3" s="201" t="s">
        <v>21</v>
      </c>
      <c r="BK3" s="201"/>
      <c r="BL3" s="201"/>
      <c r="BM3" s="201" t="s">
        <v>147</v>
      </c>
      <c r="BN3" s="201"/>
      <c r="BO3" s="201"/>
      <c r="BP3" s="201" t="s">
        <v>148</v>
      </c>
      <c r="BQ3" s="201"/>
      <c r="BR3" s="201"/>
      <c r="BS3" s="201" t="s">
        <v>22</v>
      </c>
      <c r="BT3" s="201"/>
      <c r="BU3" s="201"/>
      <c r="BV3" s="201" t="s">
        <v>23</v>
      </c>
      <c r="BW3" s="201"/>
      <c r="BX3" s="201"/>
      <c r="BY3" s="201" t="s">
        <v>332</v>
      </c>
      <c r="BZ3" s="201"/>
      <c r="CA3" s="201"/>
      <c r="CB3" s="201" t="s">
        <v>24</v>
      </c>
      <c r="CC3" s="201"/>
      <c r="CD3" s="201"/>
      <c r="CE3" s="201" t="s">
        <v>25</v>
      </c>
      <c r="CF3" s="201"/>
      <c r="CG3" s="201"/>
      <c r="CH3" s="201" t="s">
        <v>26</v>
      </c>
      <c r="CI3" s="201"/>
      <c r="CJ3" s="201"/>
      <c r="CK3" s="201" t="s">
        <v>27</v>
      </c>
      <c r="CL3" s="201"/>
      <c r="CM3" s="201"/>
      <c r="CN3" s="201" t="s">
        <v>28</v>
      </c>
      <c r="CO3" s="201"/>
      <c r="CP3" s="201"/>
      <c r="CQ3" s="201" t="s">
        <v>29</v>
      </c>
      <c r="CR3" s="201"/>
      <c r="CS3" s="201"/>
      <c r="CT3" s="201" t="s">
        <v>30</v>
      </c>
      <c r="CU3" s="201"/>
      <c r="CV3" s="201"/>
      <c r="CW3" s="201" t="s">
        <v>31</v>
      </c>
      <c r="CX3" s="201"/>
      <c r="CY3" s="201"/>
    </row>
    <row r="4" spans="1:103" s="22" customFormat="1" x14ac:dyDescent="0.25">
      <c r="A4" s="103"/>
      <c r="B4" s="103" t="s">
        <v>312</v>
      </c>
      <c r="C4" s="103" t="s">
        <v>313</v>
      </c>
      <c r="D4" s="103" t="s">
        <v>302</v>
      </c>
      <c r="E4" s="103" t="s">
        <v>312</v>
      </c>
      <c r="F4" s="103" t="s">
        <v>313</v>
      </c>
      <c r="G4" s="103" t="s">
        <v>302</v>
      </c>
      <c r="H4" s="103" t="s">
        <v>312</v>
      </c>
      <c r="I4" s="103" t="s">
        <v>313</v>
      </c>
      <c r="J4" s="103" t="s">
        <v>302</v>
      </c>
      <c r="K4" s="103" t="s">
        <v>312</v>
      </c>
      <c r="L4" s="103" t="s">
        <v>313</v>
      </c>
      <c r="M4" s="103" t="s">
        <v>302</v>
      </c>
      <c r="N4" s="103" t="s">
        <v>312</v>
      </c>
      <c r="O4" s="103" t="s">
        <v>313</v>
      </c>
      <c r="P4" s="103" t="s">
        <v>302</v>
      </c>
      <c r="Q4" s="103" t="s">
        <v>312</v>
      </c>
      <c r="R4" s="103" t="s">
        <v>313</v>
      </c>
      <c r="S4" s="103" t="s">
        <v>302</v>
      </c>
      <c r="T4" s="103" t="s">
        <v>312</v>
      </c>
      <c r="U4" s="103" t="s">
        <v>313</v>
      </c>
      <c r="V4" s="103" t="s">
        <v>302</v>
      </c>
      <c r="W4" s="103" t="s">
        <v>312</v>
      </c>
      <c r="X4" s="103" t="s">
        <v>313</v>
      </c>
      <c r="Y4" s="103" t="s">
        <v>302</v>
      </c>
      <c r="Z4" s="103" t="s">
        <v>312</v>
      </c>
      <c r="AA4" s="103" t="s">
        <v>313</v>
      </c>
      <c r="AB4" s="103" t="s">
        <v>302</v>
      </c>
      <c r="AC4" s="103" t="s">
        <v>312</v>
      </c>
      <c r="AD4" s="103" t="s">
        <v>313</v>
      </c>
      <c r="AE4" s="103" t="s">
        <v>302</v>
      </c>
      <c r="AF4" s="103" t="s">
        <v>312</v>
      </c>
      <c r="AG4" s="103" t="s">
        <v>313</v>
      </c>
      <c r="AH4" s="103" t="s">
        <v>302</v>
      </c>
      <c r="AI4" s="103" t="s">
        <v>312</v>
      </c>
      <c r="AJ4" s="103" t="s">
        <v>313</v>
      </c>
      <c r="AK4" s="103" t="s">
        <v>302</v>
      </c>
      <c r="AL4" s="103" t="s">
        <v>312</v>
      </c>
      <c r="AM4" s="103" t="s">
        <v>313</v>
      </c>
      <c r="AN4" s="103" t="s">
        <v>302</v>
      </c>
      <c r="AO4" s="103" t="s">
        <v>312</v>
      </c>
      <c r="AP4" s="103" t="s">
        <v>313</v>
      </c>
      <c r="AQ4" s="103" t="s">
        <v>302</v>
      </c>
      <c r="AR4" s="103" t="s">
        <v>312</v>
      </c>
      <c r="AS4" s="103" t="s">
        <v>313</v>
      </c>
      <c r="AT4" s="103" t="s">
        <v>302</v>
      </c>
      <c r="AU4" s="103" t="s">
        <v>312</v>
      </c>
      <c r="AV4" s="103" t="s">
        <v>313</v>
      </c>
      <c r="AW4" s="103" t="s">
        <v>302</v>
      </c>
      <c r="AX4" s="103" t="s">
        <v>312</v>
      </c>
      <c r="AY4" s="103" t="s">
        <v>313</v>
      </c>
      <c r="AZ4" s="103" t="s">
        <v>302</v>
      </c>
      <c r="BA4" s="103" t="s">
        <v>312</v>
      </c>
      <c r="BB4" s="103" t="s">
        <v>313</v>
      </c>
      <c r="BC4" s="103" t="s">
        <v>302</v>
      </c>
      <c r="BD4" s="103" t="s">
        <v>312</v>
      </c>
      <c r="BE4" s="103" t="s">
        <v>313</v>
      </c>
      <c r="BF4" s="103" t="s">
        <v>302</v>
      </c>
      <c r="BG4" s="103" t="s">
        <v>312</v>
      </c>
      <c r="BH4" s="103" t="s">
        <v>313</v>
      </c>
      <c r="BI4" s="103" t="s">
        <v>302</v>
      </c>
      <c r="BJ4" s="103" t="s">
        <v>312</v>
      </c>
      <c r="BK4" s="103" t="s">
        <v>313</v>
      </c>
      <c r="BL4" s="103" t="s">
        <v>302</v>
      </c>
      <c r="BM4" s="103" t="s">
        <v>312</v>
      </c>
      <c r="BN4" s="103" t="s">
        <v>313</v>
      </c>
      <c r="BO4" s="103" t="s">
        <v>302</v>
      </c>
      <c r="BP4" s="103" t="s">
        <v>312</v>
      </c>
      <c r="BQ4" s="103" t="s">
        <v>313</v>
      </c>
      <c r="BR4" s="103" t="s">
        <v>302</v>
      </c>
      <c r="BS4" s="103" t="s">
        <v>312</v>
      </c>
      <c r="BT4" s="103" t="s">
        <v>313</v>
      </c>
      <c r="BU4" s="103" t="s">
        <v>302</v>
      </c>
      <c r="BV4" s="103" t="s">
        <v>312</v>
      </c>
      <c r="BW4" s="103" t="s">
        <v>313</v>
      </c>
      <c r="BX4" s="103" t="s">
        <v>302</v>
      </c>
      <c r="BY4" s="103" t="s">
        <v>312</v>
      </c>
      <c r="BZ4" s="103" t="s">
        <v>313</v>
      </c>
      <c r="CA4" s="103" t="s">
        <v>302</v>
      </c>
      <c r="CB4" s="103" t="s">
        <v>312</v>
      </c>
      <c r="CC4" s="103" t="s">
        <v>313</v>
      </c>
      <c r="CD4" s="103" t="s">
        <v>302</v>
      </c>
      <c r="CE4" s="103" t="s">
        <v>312</v>
      </c>
      <c r="CF4" s="103" t="s">
        <v>313</v>
      </c>
      <c r="CG4" s="103" t="s">
        <v>302</v>
      </c>
      <c r="CH4" s="103" t="s">
        <v>312</v>
      </c>
      <c r="CI4" s="103" t="s">
        <v>313</v>
      </c>
      <c r="CJ4" s="103" t="s">
        <v>302</v>
      </c>
      <c r="CK4" s="103" t="s">
        <v>312</v>
      </c>
      <c r="CL4" s="103" t="s">
        <v>313</v>
      </c>
      <c r="CM4" s="103" t="s">
        <v>302</v>
      </c>
      <c r="CN4" s="103" t="s">
        <v>312</v>
      </c>
      <c r="CO4" s="103" t="s">
        <v>313</v>
      </c>
      <c r="CP4" s="103" t="s">
        <v>302</v>
      </c>
      <c r="CQ4" s="103" t="s">
        <v>312</v>
      </c>
      <c r="CR4" s="103" t="s">
        <v>313</v>
      </c>
      <c r="CS4" s="103" t="s">
        <v>302</v>
      </c>
      <c r="CT4" s="103" t="s">
        <v>312</v>
      </c>
      <c r="CU4" s="103" t="s">
        <v>313</v>
      </c>
      <c r="CV4" s="103" t="s">
        <v>302</v>
      </c>
      <c r="CW4" s="103" t="s">
        <v>312</v>
      </c>
      <c r="CX4" s="103" t="s">
        <v>313</v>
      </c>
      <c r="CY4" s="103" t="s">
        <v>302</v>
      </c>
    </row>
    <row r="5" spans="1:103" x14ac:dyDescent="0.25">
      <c r="A5" s="21" t="s">
        <v>285</v>
      </c>
      <c r="B5" s="21">
        <v>4</v>
      </c>
      <c r="C5" s="21">
        <f>D5-B5</f>
        <v>2748</v>
      </c>
      <c r="D5" s="21">
        <v>2752</v>
      </c>
      <c r="E5" s="21"/>
      <c r="F5" s="21">
        <f>G5-E5</f>
        <v>3166</v>
      </c>
      <c r="G5" s="21">
        <v>3166</v>
      </c>
      <c r="H5" s="21"/>
      <c r="I5" s="21">
        <f>J5-H5</f>
        <v>3724794</v>
      </c>
      <c r="J5" s="21">
        <v>3724794</v>
      </c>
      <c r="K5" s="21"/>
      <c r="L5" s="21">
        <f>M5-K5</f>
        <v>22190</v>
      </c>
      <c r="M5" s="45">
        <v>22190</v>
      </c>
      <c r="N5" s="21">
        <v>52449</v>
      </c>
      <c r="O5" s="21">
        <f>P5-N5</f>
        <v>112678</v>
      </c>
      <c r="P5" s="21">
        <v>165127</v>
      </c>
      <c r="Q5" s="21">
        <v>13620</v>
      </c>
      <c r="R5" s="21">
        <f>S5-Q5</f>
        <v>19265</v>
      </c>
      <c r="S5" s="21">
        <v>32885</v>
      </c>
      <c r="T5" s="21">
        <v>27303</v>
      </c>
      <c r="U5" s="21">
        <f>V5-T5</f>
        <v>34062</v>
      </c>
      <c r="V5" s="21">
        <v>61365</v>
      </c>
      <c r="W5" s="21"/>
      <c r="X5" s="21">
        <f>Y5-W5</f>
        <v>3991</v>
      </c>
      <c r="Y5" s="21">
        <v>3991</v>
      </c>
      <c r="Z5" s="21"/>
      <c r="AA5" s="21">
        <f>AB5-Z5</f>
        <v>393</v>
      </c>
      <c r="AB5" s="21">
        <v>393</v>
      </c>
      <c r="AC5" s="21"/>
      <c r="AD5" s="21">
        <f>AE5-AC5</f>
        <v>0</v>
      </c>
      <c r="AE5" s="21"/>
      <c r="AF5" s="21"/>
      <c r="AG5" s="21">
        <f>AH5-AF5</f>
        <v>884</v>
      </c>
      <c r="AH5" s="21">
        <v>884</v>
      </c>
      <c r="AI5" s="21">
        <v>8041</v>
      </c>
      <c r="AJ5" s="21">
        <f>AK5-AI5</f>
        <v>23926</v>
      </c>
      <c r="AK5" s="21">
        <v>31967</v>
      </c>
      <c r="AL5" s="21">
        <v>149</v>
      </c>
      <c r="AM5" s="21">
        <f>AN5-AL5</f>
        <v>1596</v>
      </c>
      <c r="AN5" s="21">
        <v>1745</v>
      </c>
      <c r="AO5" s="21">
        <v>26497</v>
      </c>
      <c r="AP5" s="21">
        <f>AQ5-AO5</f>
        <v>50376</v>
      </c>
      <c r="AQ5" s="21">
        <v>76873</v>
      </c>
      <c r="AR5" s="21">
        <v>53987</v>
      </c>
      <c r="AS5" s="21">
        <f>AT5-AR5</f>
        <v>140994</v>
      </c>
      <c r="AT5" s="21">
        <v>194981</v>
      </c>
      <c r="AU5" s="38">
        <v>37430</v>
      </c>
      <c r="AV5" s="21">
        <f>AW5-AU5</f>
        <v>53965</v>
      </c>
      <c r="AW5" s="38">
        <v>91395</v>
      </c>
      <c r="AX5" s="21">
        <v>272</v>
      </c>
      <c r="AY5" s="21">
        <f>AZ5-AX5</f>
        <v>1565</v>
      </c>
      <c r="AZ5" s="21">
        <v>1837</v>
      </c>
      <c r="BA5" s="21">
        <v>3101</v>
      </c>
      <c r="BB5" s="21">
        <f>BC5-BA5</f>
        <v>7811</v>
      </c>
      <c r="BC5" s="21">
        <v>10912</v>
      </c>
      <c r="BD5" s="21">
        <v>5326</v>
      </c>
      <c r="BE5" s="21">
        <f>BF5-BD5</f>
        <v>3045</v>
      </c>
      <c r="BF5" s="21">
        <v>8371</v>
      </c>
      <c r="BG5" s="21"/>
      <c r="BH5" s="21">
        <f>BI5-BG5</f>
        <v>4709</v>
      </c>
      <c r="BI5" s="21">
        <v>4709</v>
      </c>
      <c r="BJ5" s="21"/>
      <c r="BK5" s="21">
        <f>BL5-BJ5</f>
        <v>0</v>
      </c>
      <c r="BL5" s="21"/>
      <c r="BM5" s="21">
        <v>153085</v>
      </c>
      <c r="BN5" s="21">
        <f>BO5-BM5</f>
        <v>210024</v>
      </c>
      <c r="BO5" s="21">
        <v>363109</v>
      </c>
      <c r="BP5" s="21">
        <v>107656</v>
      </c>
      <c r="BQ5" s="21">
        <f>BR5-BP5</f>
        <v>240126</v>
      </c>
      <c r="BR5" s="38">
        <v>347782</v>
      </c>
      <c r="BS5" s="21">
        <v>249</v>
      </c>
      <c r="BT5" s="21">
        <f>BU5-BS5</f>
        <v>198</v>
      </c>
      <c r="BU5" s="21">
        <v>447</v>
      </c>
      <c r="BV5" s="21">
        <v>64723</v>
      </c>
      <c r="BW5" s="21">
        <f>BX5-BV5</f>
        <v>216224</v>
      </c>
      <c r="BX5" s="21">
        <v>280947</v>
      </c>
      <c r="BY5" s="21"/>
      <c r="BZ5" s="21">
        <f>CA5-BY5</f>
        <v>0</v>
      </c>
      <c r="CA5" s="21"/>
      <c r="CB5" s="21"/>
      <c r="CC5" s="21">
        <f>CD5-CB5</f>
        <v>8586</v>
      </c>
      <c r="CD5" s="21">
        <v>8586</v>
      </c>
      <c r="CE5" s="21">
        <v>19576</v>
      </c>
      <c r="CF5" s="21">
        <f>CG5-CE5</f>
        <v>27303</v>
      </c>
      <c r="CG5" s="21">
        <v>46879</v>
      </c>
      <c r="CH5" s="21">
        <v>6966</v>
      </c>
      <c r="CI5" s="21">
        <f>CJ5-CH5</f>
        <v>28542</v>
      </c>
      <c r="CJ5" s="21">
        <v>35508</v>
      </c>
      <c r="CK5" s="21">
        <v>45218</v>
      </c>
      <c r="CL5" s="21">
        <f>CM5-CK5</f>
        <v>14225</v>
      </c>
      <c r="CM5" s="21">
        <v>59443</v>
      </c>
      <c r="CN5" s="21"/>
      <c r="CO5" s="21">
        <f>CP5-CN5</f>
        <v>54037</v>
      </c>
      <c r="CP5" s="21">
        <v>54037</v>
      </c>
      <c r="CQ5" s="21">
        <v>16742</v>
      </c>
      <c r="CR5" s="21">
        <f>CS5-CQ5</f>
        <v>47463</v>
      </c>
      <c r="CS5" s="21">
        <v>64205</v>
      </c>
      <c r="CT5" s="21"/>
      <c r="CU5" s="21"/>
      <c r="CV5" s="21"/>
      <c r="CW5" s="21"/>
      <c r="CX5" s="21">
        <f>CY5-CW5</f>
        <v>0</v>
      </c>
      <c r="CY5" s="21"/>
    </row>
    <row r="6" spans="1:103" x14ac:dyDescent="0.25">
      <c r="A6" s="21" t="s">
        <v>286</v>
      </c>
      <c r="B6" s="21">
        <v>7</v>
      </c>
      <c r="C6" s="21">
        <f t="shared" ref="C6:C13" si="0">D6-B6</f>
        <v>16721</v>
      </c>
      <c r="D6" s="21">
        <v>16728</v>
      </c>
      <c r="E6" s="21"/>
      <c r="F6" s="21">
        <f t="shared" ref="F6:F14" si="1">G6-E6</f>
        <v>59140</v>
      </c>
      <c r="G6" s="21">
        <v>59140</v>
      </c>
      <c r="H6" s="21"/>
      <c r="I6" s="21">
        <f t="shared" ref="I6:I14" si="2">J6-H6</f>
        <v>3027485</v>
      </c>
      <c r="J6" s="21">
        <v>3027485</v>
      </c>
      <c r="K6" s="21"/>
      <c r="L6" s="21">
        <f t="shared" ref="L6:L14" si="3">M6-K6</f>
        <v>323777</v>
      </c>
      <c r="M6" s="45">
        <v>323777</v>
      </c>
      <c r="N6" s="21">
        <v>4425</v>
      </c>
      <c r="O6" s="21">
        <f t="shared" ref="O6:O14" si="4">P6-N6</f>
        <v>862891</v>
      </c>
      <c r="P6" s="21">
        <v>867316</v>
      </c>
      <c r="Q6" s="21">
        <v>1073</v>
      </c>
      <c r="R6" s="21">
        <f t="shared" ref="R6:R14" si="5">S6-Q6</f>
        <v>65540</v>
      </c>
      <c r="S6" s="21">
        <v>66613</v>
      </c>
      <c r="T6" s="21">
        <v>4589</v>
      </c>
      <c r="U6" s="21">
        <f>V6-T6</f>
        <v>53936</v>
      </c>
      <c r="V6" s="21">
        <v>58525</v>
      </c>
      <c r="W6" s="21"/>
      <c r="X6" s="21">
        <f t="shared" ref="X6:X14" si="6">Y6-W6</f>
        <v>47741</v>
      </c>
      <c r="Y6" s="21">
        <v>47741</v>
      </c>
      <c r="Z6" s="21">
        <v>3</v>
      </c>
      <c r="AA6" s="21">
        <f t="shared" ref="AA6:AA12" si="7">AB6-Z6</f>
        <v>1209</v>
      </c>
      <c r="AB6" s="21">
        <v>1212</v>
      </c>
      <c r="AC6" s="21">
        <v>3</v>
      </c>
      <c r="AD6" s="21">
        <f t="shared" ref="AD6:AD11" si="8">AE6-AC6</f>
        <v>67</v>
      </c>
      <c r="AE6" s="21">
        <v>70</v>
      </c>
      <c r="AF6" s="21"/>
      <c r="AG6" s="21">
        <f t="shared" ref="AG6:AG14" si="9">AH6-AF6</f>
        <v>639</v>
      </c>
      <c r="AH6" s="21">
        <v>639</v>
      </c>
      <c r="AI6" s="21">
        <v>1090</v>
      </c>
      <c r="AJ6" s="21">
        <f t="shared" ref="AJ6:AJ14" si="10">AK6-AI6</f>
        <v>74789</v>
      </c>
      <c r="AK6" s="45">
        <v>75879</v>
      </c>
      <c r="AL6" s="21">
        <v>369</v>
      </c>
      <c r="AM6" s="21">
        <f t="shared" ref="AM6:AM14" si="11">AN6-AL6</f>
        <v>18435</v>
      </c>
      <c r="AN6" s="21">
        <v>18804</v>
      </c>
      <c r="AO6" s="21">
        <v>2657</v>
      </c>
      <c r="AP6" s="21">
        <f t="shared" ref="AP6:AP14" si="12">AQ6-AO6</f>
        <v>451862</v>
      </c>
      <c r="AQ6" s="21">
        <v>454519</v>
      </c>
      <c r="AR6" s="21">
        <v>5240</v>
      </c>
      <c r="AS6" s="21">
        <f t="shared" ref="AS6:AS14" si="13">AT6-AR6</f>
        <v>435434</v>
      </c>
      <c r="AT6" s="21">
        <v>440674</v>
      </c>
      <c r="AU6" s="21">
        <v>18085</v>
      </c>
      <c r="AV6" s="21">
        <f t="shared" ref="AV6:AV14" si="14">AW6-AU6</f>
        <v>820109</v>
      </c>
      <c r="AW6" s="21">
        <v>838194</v>
      </c>
      <c r="AX6" s="21">
        <v>90</v>
      </c>
      <c r="AY6" s="21">
        <f t="shared" ref="AY6:AY14" si="15">AZ6-AX6</f>
        <v>8472</v>
      </c>
      <c r="AZ6" s="21">
        <v>8562</v>
      </c>
      <c r="BA6" s="21">
        <v>478</v>
      </c>
      <c r="BB6" s="21">
        <f t="shared" ref="BB6:BB14" si="16">BC6-BA6</f>
        <v>45064</v>
      </c>
      <c r="BC6" s="21">
        <v>45542</v>
      </c>
      <c r="BD6" s="21">
        <v>718</v>
      </c>
      <c r="BE6" s="21">
        <f t="shared" ref="BE6:BE14" si="17">BF6-BD6</f>
        <v>18097</v>
      </c>
      <c r="BF6" s="21">
        <v>18815</v>
      </c>
      <c r="BG6" s="21"/>
      <c r="BH6" s="21">
        <f t="shared" ref="BH6:BH14" si="18">BI6-BG6</f>
        <v>22788</v>
      </c>
      <c r="BI6" s="21">
        <v>22788</v>
      </c>
      <c r="BJ6" s="21"/>
      <c r="BK6" s="21">
        <f>BL6-BJ6</f>
        <v>0</v>
      </c>
      <c r="BL6" s="21"/>
      <c r="BM6" s="21">
        <v>21659</v>
      </c>
      <c r="BN6" s="21">
        <f>BO6-BM6</f>
        <v>1417957</v>
      </c>
      <c r="BO6" s="21">
        <v>1439616</v>
      </c>
      <c r="BP6" s="21">
        <v>18941</v>
      </c>
      <c r="BQ6" s="21">
        <f t="shared" ref="BQ6:BQ14" si="19">BR6-BP6</f>
        <v>917669</v>
      </c>
      <c r="BR6" s="38">
        <v>936610</v>
      </c>
      <c r="BS6" s="21">
        <v>60</v>
      </c>
      <c r="BT6" s="21">
        <f t="shared" ref="BT6:BT14" si="20">BU6-BS6</f>
        <v>51</v>
      </c>
      <c r="BU6" s="21">
        <v>111</v>
      </c>
      <c r="BV6" s="21">
        <v>4694</v>
      </c>
      <c r="BW6" s="21">
        <f t="shared" ref="BW6:BW14" si="21">BX6-BV6</f>
        <v>334928</v>
      </c>
      <c r="BX6" s="21">
        <v>339622</v>
      </c>
      <c r="BY6" s="21"/>
      <c r="BZ6" s="21">
        <f t="shared" ref="BZ6:BZ14" si="22">CA6-BY6</f>
        <v>13</v>
      </c>
      <c r="CA6" s="21">
        <v>13</v>
      </c>
      <c r="CB6" s="21"/>
      <c r="CC6" s="21">
        <f t="shared" ref="CC6:CC13" si="23">CD6-CB6</f>
        <v>318836</v>
      </c>
      <c r="CD6" s="21">
        <v>318836</v>
      </c>
      <c r="CE6" s="21">
        <v>1938</v>
      </c>
      <c r="CF6" s="21">
        <f t="shared" ref="CF6:CF14" si="24">CG6-CE6</f>
        <v>139303</v>
      </c>
      <c r="CG6" s="21">
        <v>141241</v>
      </c>
      <c r="CH6" s="21">
        <v>903</v>
      </c>
      <c r="CI6" s="21">
        <f t="shared" ref="CI6:CI15" si="25">CJ6-CH6</f>
        <v>72826</v>
      </c>
      <c r="CJ6" s="21">
        <v>73729</v>
      </c>
      <c r="CK6" s="21">
        <v>4374</v>
      </c>
      <c r="CL6" s="21">
        <f t="shared" ref="CL6:CL14" si="26">CM6-CK6</f>
        <v>42346</v>
      </c>
      <c r="CM6" s="21">
        <v>46720</v>
      </c>
      <c r="CN6" s="21"/>
      <c r="CO6" s="21">
        <f t="shared" ref="CO6:CO14" si="27">CP6-CN6</f>
        <v>204855</v>
      </c>
      <c r="CP6" s="21">
        <v>204855</v>
      </c>
      <c r="CQ6" s="21">
        <v>2581</v>
      </c>
      <c r="CR6" s="21">
        <f t="shared" ref="CR6:CR14" si="28">CS6-CQ6</f>
        <v>302364</v>
      </c>
      <c r="CS6" s="21">
        <v>304945</v>
      </c>
      <c r="CT6" s="21"/>
      <c r="CU6" s="21"/>
      <c r="CV6" s="21"/>
      <c r="CW6" s="21"/>
      <c r="CX6" s="21">
        <f>CY6-CW6</f>
        <v>0</v>
      </c>
      <c r="CY6" s="21"/>
    </row>
    <row r="7" spans="1:103" x14ac:dyDescent="0.25">
      <c r="A7" s="21" t="s">
        <v>287</v>
      </c>
      <c r="B7" s="21">
        <v>4</v>
      </c>
      <c r="C7" s="21">
        <f t="shared" si="0"/>
        <v>13873</v>
      </c>
      <c r="D7" s="21">
        <v>13877</v>
      </c>
      <c r="E7" s="21"/>
      <c r="F7" s="21">
        <f t="shared" si="1"/>
        <v>45357</v>
      </c>
      <c r="G7" s="21">
        <v>45357</v>
      </c>
      <c r="H7" s="21"/>
      <c r="I7" s="21">
        <f t="shared" si="2"/>
        <v>1817527</v>
      </c>
      <c r="J7" s="21">
        <v>1817527</v>
      </c>
      <c r="K7" s="21"/>
      <c r="L7" s="21">
        <f t="shared" si="3"/>
        <v>290961</v>
      </c>
      <c r="M7" s="45">
        <v>290961</v>
      </c>
      <c r="N7" s="21">
        <v>5804</v>
      </c>
      <c r="O7" s="21">
        <f t="shared" si="4"/>
        <v>801054</v>
      </c>
      <c r="P7" s="21">
        <v>806858</v>
      </c>
      <c r="Q7" s="21">
        <v>1505</v>
      </c>
      <c r="R7" s="21">
        <f t="shared" si="5"/>
        <v>61780</v>
      </c>
      <c r="S7" s="21">
        <v>63285</v>
      </c>
      <c r="T7" s="21">
        <v>4330</v>
      </c>
      <c r="U7" s="21">
        <f>V7-T7</f>
        <v>54211</v>
      </c>
      <c r="V7" s="21">
        <v>58541</v>
      </c>
      <c r="W7" s="21"/>
      <c r="X7" s="21">
        <f t="shared" si="6"/>
        <v>44650</v>
      </c>
      <c r="Y7" s="21">
        <v>44650</v>
      </c>
      <c r="Z7" s="21"/>
      <c r="AA7" s="21">
        <f t="shared" si="7"/>
        <v>1202</v>
      </c>
      <c r="AB7" s="21">
        <v>1202</v>
      </c>
      <c r="AC7" s="21"/>
      <c r="AD7" s="21">
        <f t="shared" si="8"/>
        <v>45</v>
      </c>
      <c r="AE7" s="21">
        <v>45</v>
      </c>
      <c r="AF7" s="21"/>
      <c r="AG7" s="21">
        <f t="shared" si="9"/>
        <v>302</v>
      </c>
      <c r="AH7" s="21">
        <v>302</v>
      </c>
      <c r="AI7" s="21">
        <v>1258</v>
      </c>
      <c r="AJ7" s="21">
        <f t="shared" si="10"/>
        <v>65870</v>
      </c>
      <c r="AK7" s="45">
        <v>67128</v>
      </c>
      <c r="AL7" s="21">
        <v>119</v>
      </c>
      <c r="AM7" s="21">
        <f t="shared" si="11"/>
        <v>16343</v>
      </c>
      <c r="AN7" s="21">
        <v>16462</v>
      </c>
      <c r="AO7" s="21">
        <v>2231</v>
      </c>
      <c r="AP7" s="21">
        <f t="shared" si="12"/>
        <v>383311</v>
      </c>
      <c r="AQ7" s="21">
        <v>385542</v>
      </c>
      <c r="AR7" s="21">
        <v>3701</v>
      </c>
      <c r="AS7" s="21">
        <f t="shared" si="13"/>
        <v>391593</v>
      </c>
      <c r="AT7" s="21">
        <v>395294</v>
      </c>
      <c r="AU7" s="21">
        <v>23779</v>
      </c>
      <c r="AV7" s="21">
        <f t="shared" si="14"/>
        <v>837558</v>
      </c>
      <c r="AW7" s="21">
        <v>861337</v>
      </c>
      <c r="AX7" s="21">
        <v>16</v>
      </c>
      <c r="AY7" s="21">
        <f t="shared" si="15"/>
        <v>7464</v>
      </c>
      <c r="AZ7" s="21">
        <v>7480</v>
      </c>
      <c r="BA7" s="21">
        <v>217</v>
      </c>
      <c r="BB7" s="21">
        <f t="shared" si="16"/>
        <v>39651</v>
      </c>
      <c r="BC7" s="21">
        <v>39868</v>
      </c>
      <c r="BD7" s="21">
        <v>942</v>
      </c>
      <c r="BE7" s="21">
        <f t="shared" si="17"/>
        <v>15601</v>
      </c>
      <c r="BF7" s="21">
        <v>16543</v>
      </c>
      <c r="BG7" s="21"/>
      <c r="BH7" s="21">
        <f t="shared" si="18"/>
        <v>20463</v>
      </c>
      <c r="BI7" s="21">
        <v>20463</v>
      </c>
      <c r="BJ7" s="21"/>
      <c r="BK7" s="21">
        <f>BL7-BJ7</f>
        <v>0</v>
      </c>
      <c r="BL7" s="21"/>
      <c r="BM7" s="21">
        <v>30445</v>
      </c>
      <c r="BN7" s="21">
        <f>BO7-BM7</f>
        <v>1413897</v>
      </c>
      <c r="BO7" s="21">
        <v>1444342</v>
      </c>
      <c r="BP7" s="21">
        <v>31770</v>
      </c>
      <c r="BQ7" s="21">
        <f t="shared" si="19"/>
        <v>832053</v>
      </c>
      <c r="BR7" s="38">
        <v>863823</v>
      </c>
      <c r="BS7" s="21">
        <v>30</v>
      </c>
      <c r="BT7" s="21">
        <f t="shared" si="20"/>
        <v>31</v>
      </c>
      <c r="BU7" s="21">
        <v>61</v>
      </c>
      <c r="BV7" s="21">
        <v>5555</v>
      </c>
      <c r="BW7" s="21">
        <f t="shared" si="21"/>
        <v>286970</v>
      </c>
      <c r="BX7" s="21">
        <v>292525</v>
      </c>
      <c r="BY7" s="21"/>
      <c r="BZ7" s="21">
        <f t="shared" si="22"/>
        <v>1</v>
      </c>
      <c r="CA7" s="21">
        <v>1</v>
      </c>
      <c r="CB7" s="21"/>
      <c r="CC7" s="21">
        <f t="shared" si="23"/>
        <v>299173</v>
      </c>
      <c r="CD7" s="21">
        <v>299173</v>
      </c>
      <c r="CE7" s="21">
        <v>2171</v>
      </c>
      <c r="CF7" s="21">
        <f t="shared" si="24"/>
        <v>139926</v>
      </c>
      <c r="CG7" s="21">
        <v>142097</v>
      </c>
      <c r="CH7" s="21">
        <v>590</v>
      </c>
      <c r="CI7" s="21">
        <f t="shared" si="25"/>
        <v>66594</v>
      </c>
      <c r="CJ7" s="21">
        <v>67184</v>
      </c>
      <c r="CK7" s="21">
        <v>6579</v>
      </c>
      <c r="CL7" s="21">
        <f t="shared" si="26"/>
        <v>36095</v>
      </c>
      <c r="CM7" s="21">
        <v>42674</v>
      </c>
      <c r="CN7" s="21"/>
      <c r="CO7" s="21">
        <f t="shared" si="27"/>
        <v>171312</v>
      </c>
      <c r="CP7" s="21">
        <v>171312</v>
      </c>
      <c r="CQ7" s="21">
        <v>2214</v>
      </c>
      <c r="CR7" s="21">
        <f t="shared" si="28"/>
        <v>278170</v>
      </c>
      <c r="CS7" s="21">
        <v>280384</v>
      </c>
      <c r="CT7" s="21"/>
      <c r="CU7" s="21"/>
      <c r="CV7" s="21"/>
      <c r="CW7" s="21"/>
      <c r="CX7" s="21">
        <f>CY7-CW7</f>
        <v>0</v>
      </c>
      <c r="CY7" s="21"/>
    </row>
    <row r="8" spans="1:103" x14ac:dyDescent="0.25">
      <c r="A8" s="21" t="s">
        <v>288</v>
      </c>
      <c r="B8" s="21">
        <v>0</v>
      </c>
      <c r="C8" s="21">
        <f t="shared" si="0"/>
        <v>64</v>
      </c>
      <c r="D8" s="21">
        <v>64</v>
      </c>
      <c r="E8" s="21"/>
      <c r="F8" s="21">
        <f t="shared" si="1"/>
        <v>3052</v>
      </c>
      <c r="G8" s="21">
        <v>3052</v>
      </c>
      <c r="H8" s="21"/>
      <c r="I8" s="21">
        <f t="shared" si="2"/>
        <v>30</v>
      </c>
      <c r="J8" s="21">
        <v>30</v>
      </c>
      <c r="K8" s="21"/>
      <c r="L8" s="21">
        <f t="shared" si="3"/>
        <v>33083</v>
      </c>
      <c r="M8" s="45">
        <v>33083</v>
      </c>
      <c r="N8" s="38">
        <v>82</v>
      </c>
      <c r="O8" s="21">
        <f t="shared" si="4"/>
        <v>15277</v>
      </c>
      <c r="P8" s="21">
        <v>15359</v>
      </c>
      <c r="Q8" s="21">
        <v>0</v>
      </c>
      <c r="R8" s="21">
        <f t="shared" si="5"/>
        <v>1854</v>
      </c>
      <c r="S8" s="21">
        <v>1854</v>
      </c>
      <c r="T8" s="21"/>
      <c r="U8" s="21">
        <f>V8-T8</f>
        <v>4679</v>
      </c>
      <c r="V8" s="21">
        <v>4679</v>
      </c>
      <c r="W8" s="21"/>
      <c r="X8" s="21">
        <f t="shared" si="6"/>
        <v>5427</v>
      </c>
      <c r="Y8" s="21">
        <v>5427</v>
      </c>
      <c r="Z8" s="21"/>
      <c r="AA8" s="21"/>
      <c r="AB8" s="21">
        <v>1</v>
      </c>
      <c r="AC8" s="21"/>
      <c r="AD8" s="21">
        <f t="shared" si="8"/>
        <v>7</v>
      </c>
      <c r="AE8" s="21">
        <v>7</v>
      </c>
      <c r="AF8" s="21"/>
      <c r="AG8" s="21">
        <f t="shared" si="9"/>
        <v>609</v>
      </c>
      <c r="AH8" s="21">
        <v>609</v>
      </c>
      <c r="AI8" s="21">
        <v>0</v>
      </c>
      <c r="AJ8" s="21">
        <f t="shared" si="10"/>
        <v>5322</v>
      </c>
      <c r="AK8" s="45">
        <v>5322</v>
      </c>
      <c r="AL8" s="21">
        <v>1</v>
      </c>
      <c r="AM8" s="21">
        <f t="shared" si="11"/>
        <v>246</v>
      </c>
      <c r="AN8" s="21">
        <v>247</v>
      </c>
      <c r="AO8" s="21">
        <v>614</v>
      </c>
      <c r="AP8" s="21">
        <f t="shared" si="12"/>
        <v>4817</v>
      </c>
      <c r="AQ8" s="21">
        <v>5431</v>
      </c>
      <c r="AR8" s="21">
        <v>537</v>
      </c>
      <c r="AS8" s="21">
        <f t="shared" si="13"/>
        <v>22362</v>
      </c>
      <c r="AT8" s="21">
        <v>22899</v>
      </c>
      <c r="AU8" s="21">
        <v>0</v>
      </c>
      <c r="AV8" s="21">
        <f t="shared" si="14"/>
        <v>35452</v>
      </c>
      <c r="AW8" s="21">
        <v>35452</v>
      </c>
      <c r="AX8" s="21">
        <v>6</v>
      </c>
      <c r="AY8" s="21">
        <f t="shared" si="15"/>
        <v>761</v>
      </c>
      <c r="AZ8" s="21">
        <v>767</v>
      </c>
      <c r="BA8" s="21">
        <v>31</v>
      </c>
      <c r="BB8" s="21">
        <f t="shared" si="16"/>
        <v>2596</v>
      </c>
      <c r="BC8" s="21">
        <v>2627</v>
      </c>
      <c r="BD8" s="21"/>
      <c r="BE8" s="21">
        <f t="shared" si="17"/>
        <v>541</v>
      </c>
      <c r="BF8" s="21">
        <v>541</v>
      </c>
      <c r="BG8" s="21"/>
      <c r="BH8" s="21">
        <f t="shared" si="18"/>
        <v>5032</v>
      </c>
      <c r="BI8" s="21">
        <v>5032</v>
      </c>
      <c r="BJ8" s="21"/>
      <c r="BK8" s="21">
        <f>BL8-BJ8</f>
        <v>0</v>
      </c>
      <c r="BL8" s="21"/>
      <c r="BM8" s="21">
        <v>1272</v>
      </c>
      <c r="BN8" s="21">
        <f>BO8-BM8</f>
        <v>47609</v>
      </c>
      <c r="BO8" s="21">
        <v>48881</v>
      </c>
      <c r="BP8" s="21">
        <v>2156</v>
      </c>
      <c r="BQ8" s="21">
        <f t="shared" si="19"/>
        <v>70533</v>
      </c>
      <c r="BR8" s="38">
        <v>72689</v>
      </c>
      <c r="BS8" s="21"/>
      <c r="BT8" s="21"/>
      <c r="BU8" s="21">
        <v>0</v>
      </c>
      <c r="BV8" s="21">
        <v>80</v>
      </c>
      <c r="BW8" s="21">
        <f t="shared" si="21"/>
        <v>56321</v>
      </c>
      <c r="BX8" s="21">
        <v>56401</v>
      </c>
      <c r="BY8" s="21"/>
      <c r="BZ8" s="21">
        <f t="shared" si="22"/>
        <v>4</v>
      </c>
      <c r="CA8" s="21">
        <v>4</v>
      </c>
      <c r="CB8" s="21"/>
      <c r="CC8" s="21">
        <f t="shared" si="23"/>
        <v>22656</v>
      </c>
      <c r="CD8" s="21">
        <v>22656</v>
      </c>
      <c r="CE8" s="21"/>
      <c r="CF8" s="21">
        <f t="shared" si="24"/>
        <v>2429</v>
      </c>
      <c r="CG8" s="21">
        <v>2429</v>
      </c>
      <c r="CH8" s="21"/>
      <c r="CI8" s="21">
        <f t="shared" si="25"/>
        <v>2171</v>
      </c>
      <c r="CJ8" s="21">
        <v>2171</v>
      </c>
      <c r="CK8" s="21">
        <v>1514</v>
      </c>
      <c r="CL8" s="21">
        <f t="shared" si="26"/>
        <v>1280</v>
      </c>
      <c r="CM8" s="21">
        <v>2794</v>
      </c>
      <c r="CN8" s="21"/>
      <c r="CO8" s="21">
        <f t="shared" si="27"/>
        <v>26607</v>
      </c>
      <c r="CP8" s="21">
        <v>26607</v>
      </c>
      <c r="CQ8" s="21"/>
      <c r="CR8" s="21">
        <f t="shared" si="28"/>
        <v>4508</v>
      </c>
      <c r="CS8" s="21">
        <v>4508</v>
      </c>
      <c r="CT8" s="21"/>
      <c r="CU8" s="21"/>
      <c r="CV8" s="21"/>
      <c r="CW8" s="21"/>
      <c r="CX8" s="21"/>
      <c r="CY8" s="21"/>
    </row>
    <row r="9" spans="1:103" x14ac:dyDescent="0.25">
      <c r="A9" s="21" t="s">
        <v>289</v>
      </c>
      <c r="B9" s="21">
        <v>1</v>
      </c>
      <c r="C9" s="21">
        <f t="shared" si="0"/>
        <v>2749</v>
      </c>
      <c r="D9" s="21">
        <v>2750</v>
      </c>
      <c r="E9" s="21"/>
      <c r="F9" s="21">
        <f t="shared" si="1"/>
        <v>9815</v>
      </c>
      <c r="G9" s="21">
        <v>9815</v>
      </c>
      <c r="H9" s="21"/>
      <c r="I9" s="21">
        <f t="shared" si="2"/>
        <v>398705</v>
      </c>
      <c r="J9" s="21">
        <v>398705</v>
      </c>
      <c r="K9" s="21"/>
      <c r="L9" s="21"/>
      <c r="M9" s="21"/>
      <c r="N9" s="38">
        <v>539</v>
      </c>
      <c r="O9" s="21">
        <f t="shared" si="4"/>
        <v>39124</v>
      </c>
      <c r="P9" s="21">
        <v>39663</v>
      </c>
      <c r="Q9" s="21">
        <v>0</v>
      </c>
      <c r="R9" s="21">
        <f t="shared" si="5"/>
        <v>5151</v>
      </c>
      <c r="S9" s="21">
        <v>5151</v>
      </c>
      <c r="T9" s="21">
        <v>777</v>
      </c>
      <c r="U9" s="21">
        <f t="shared" ref="U9:U14" si="29">V9-T9</f>
        <v>3207</v>
      </c>
      <c r="V9" s="21">
        <v>3984</v>
      </c>
      <c r="W9" s="21"/>
      <c r="X9" s="21"/>
      <c r="Y9" s="21"/>
      <c r="Z9" s="21">
        <v>2</v>
      </c>
      <c r="AA9" s="21">
        <f t="shared" si="7"/>
        <v>113</v>
      </c>
      <c r="AB9" s="21">
        <v>115</v>
      </c>
      <c r="AC9" s="21"/>
      <c r="AD9" s="21"/>
      <c r="AE9" s="21">
        <v>7</v>
      </c>
      <c r="AF9" s="21"/>
      <c r="AG9" s="21">
        <f t="shared" si="9"/>
        <v>2</v>
      </c>
      <c r="AH9" s="21">
        <v>2</v>
      </c>
      <c r="AI9" s="21">
        <v>38</v>
      </c>
      <c r="AJ9" s="21">
        <f t="shared" si="10"/>
        <v>3122</v>
      </c>
      <c r="AK9" s="45">
        <v>3160</v>
      </c>
      <c r="AL9" s="21">
        <v>31</v>
      </c>
      <c r="AM9" s="21">
        <f t="shared" si="11"/>
        <v>2197</v>
      </c>
      <c r="AN9" s="21">
        <v>2228</v>
      </c>
      <c r="AO9" s="21">
        <v>60</v>
      </c>
      <c r="AP9" s="21">
        <f t="shared" si="12"/>
        <v>20073</v>
      </c>
      <c r="AQ9" s="21">
        <v>20133</v>
      </c>
      <c r="AR9" s="21">
        <v>1702</v>
      </c>
      <c r="AS9" s="21">
        <f t="shared" si="13"/>
        <v>19438</v>
      </c>
      <c r="AT9" s="21">
        <v>21140</v>
      </c>
      <c r="AU9" s="21">
        <v>1191</v>
      </c>
      <c r="AV9" s="21">
        <f t="shared" si="14"/>
        <v>46689</v>
      </c>
      <c r="AW9" s="21">
        <v>47880</v>
      </c>
      <c r="AX9" s="21"/>
      <c r="AY9" s="21">
        <f t="shared" si="15"/>
        <v>769</v>
      </c>
      <c r="AZ9" s="21">
        <v>769</v>
      </c>
      <c r="BA9" s="21">
        <v>6</v>
      </c>
      <c r="BB9" s="21">
        <f t="shared" si="16"/>
        <v>2396</v>
      </c>
      <c r="BC9" s="21">
        <v>2402</v>
      </c>
      <c r="BD9" s="21">
        <v>207</v>
      </c>
      <c r="BE9" s="21">
        <f t="shared" si="17"/>
        <v>1796</v>
      </c>
      <c r="BF9" s="21">
        <v>2003</v>
      </c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>
        <v>1</v>
      </c>
      <c r="BT9" s="21">
        <f t="shared" si="20"/>
        <v>9</v>
      </c>
      <c r="BU9" s="21">
        <v>10</v>
      </c>
      <c r="BV9" s="21">
        <v>1250</v>
      </c>
      <c r="BW9" s="21">
        <f t="shared" si="21"/>
        <v>11478</v>
      </c>
      <c r="BX9" s="21">
        <v>12728</v>
      </c>
      <c r="BY9" s="21"/>
      <c r="BZ9" s="21">
        <f t="shared" si="22"/>
        <v>0</v>
      </c>
      <c r="CA9" s="21"/>
      <c r="CB9" s="21"/>
      <c r="CC9" s="21"/>
      <c r="CD9" s="21"/>
      <c r="CE9" s="21">
        <v>1384</v>
      </c>
      <c r="CF9" s="21">
        <f t="shared" si="24"/>
        <v>4629</v>
      </c>
      <c r="CG9" s="21">
        <v>6013</v>
      </c>
      <c r="CH9" s="21">
        <v>281</v>
      </c>
      <c r="CI9" s="21">
        <f t="shared" si="25"/>
        <v>8756</v>
      </c>
      <c r="CJ9" s="21">
        <v>9037</v>
      </c>
      <c r="CK9" s="21">
        <v>90</v>
      </c>
      <c r="CL9" s="21">
        <f t="shared" si="26"/>
        <v>4262</v>
      </c>
      <c r="CM9" s="21">
        <v>4352</v>
      </c>
      <c r="CN9" s="21"/>
      <c r="CO9" s="21">
        <f t="shared" si="27"/>
        <v>17549</v>
      </c>
      <c r="CP9" s="21">
        <v>17549</v>
      </c>
      <c r="CQ9" s="21">
        <v>1186</v>
      </c>
      <c r="CR9" s="21">
        <f t="shared" si="28"/>
        <v>31861</v>
      </c>
      <c r="CS9" s="21">
        <v>33047</v>
      </c>
      <c r="CT9" s="21"/>
      <c r="CU9" s="21"/>
      <c r="CV9" s="21"/>
      <c r="CW9" s="21"/>
      <c r="CX9" s="21">
        <f t="shared" ref="CX9:CX14" si="30">CY9-CW9</f>
        <v>0</v>
      </c>
      <c r="CY9" s="21"/>
    </row>
    <row r="10" spans="1:103" x14ac:dyDescent="0.25">
      <c r="A10" s="21" t="s">
        <v>290</v>
      </c>
      <c r="B10" s="21">
        <v>6</v>
      </c>
      <c r="C10" s="21">
        <f t="shared" si="0"/>
        <v>2540</v>
      </c>
      <c r="D10" s="21">
        <v>2546</v>
      </c>
      <c r="E10" s="21"/>
      <c r="F10" s="21">
        <f t="shared" si="1"/>
        <v>4082</v>
      </c>
      <c r="G10" s="21">
        <v>4082</v>
      </c>
      <c r="H10" s="21"/>
      <c r="I10" s="21">
        <f t="shared" si="2"/>
        <v>4536017</v>
      </c>
      <c r="J10" s="21">
        <v>4536017</v>
      </c>
      <c r="K10" s="21"/>
      <c r="L10" s="21">
        <f t="shared" si="3"/>
        <v>21923</v>
      </c>
      <c r="M10" s="21">
        <v>21923</v>
      </c>
      <c r="N10" s="21">
        <v>50449</v>
      </c>
      <c r="O10" s="21">
        <f t="shared" si="4"/>
        <v>120114</v>
      </c>
      <c r="P10" s="21">
        <v>170563</v>
      </c>
      <c r="Q10" s="21">
        <v>13188</v>
      </c>
      <c r="R10" s="21">
        <f t="shared" si="5"/>
        <v>16020</v>
      </c>
      <c r="S10" s="21">
        <v>29208</v>
      </c>
      <c r="T10" s="21">
        <v>26785</v>
      </c>
      <c r="U10" s="21">
        <f t="shared" si="29"/>
        <v>25901</v>
      </c>
      <c r="V10" s="21">
        <v>52686</v>
      </c>
      <c r="W10" s="21"/>
      <c r="X10" s="21">
        <f t="shared" si="6"/>
        <v>1655</v>
      </c>
      <c r="Y10" s="21">
        <v>1655</v>
      </c>
      <c r="Z10" s="21">
        <v>1</v>
      </c>
      <c r="AA10" s="21">
        <f t="shared" si="7"/>
        <v>286</v>
      </c>
      <c r="AB10" s="21">
        <v>287</v>
      </c>
      <c r="AC10" s="21">
        <v>3</v>
      </c>
      <c r="AD10" s="21">
        <f t="shared" si="8"/>
        <v>8</v>
      </c>
      <c r="AE10" s="21">
        <v>11</v>
      </c>
      <c r="AF10" s="21"/>
      <c r="AG10" s="21">
        <f t="shared" si="9"/>
        <v>610</v>
      </c>
      <c r="AH10" s="21">
        <v>610</v>
      </c>
      <c r="AI10" s="21">
        <v>7685</v>
      </c>
      <c r="AJ10" s="21">
        <f t="shared" si="10"/>
        <v>23787</v>
      </c>
      <c r="AK10" s="45">
        <v>31472</v>
      </c>
      <c r="AL10" s="21">
        <v>367</v>
      </c>
      <c r="AM10" s="21">
        <f t="shared" si="11"/>
        <v>1245</v>
      </c>
      <c r="AN10" s="21">
        <v>1612</v>
      </c>
      <c r="AO10" s="21">
        <v>26249</v>
      </c>
      <c r="AP10" s="21">
        <f t="shared" si="12"/>
        <v>94037</v>
      </c>
      <c r="AQ10" s="21">
        <v>120286</v>
      </c>
      <c r="AR10" s="21">
        <v>53287</v>
      </c>
      <c r="AS10" s="21">
        <f t="shared" si="13"/>
        <v>143035</v>
      </c>
      <c r="AT10" s="21">
        <v>196322</v>
      </c>
      <c r="AU10" s="21">
        <v>33844</v>
      </c>
      <c r="AV10" s="21">
        <f t="shared" si="14"/>
        <v>40460</v>
      </c>
      <c r="AW10" s="21">
        <v>74304</v>
      </c>
      <c r="AX10" s="21">
        <v>340</v>
      </c>
      <c r="AY10" s="21">
        <f t="shared" si="15"/>
        <v>1043</v>
      </c>
      <c r="AZ10" s="21">
        <v>1383</v>
      </c>
      <c r="BA10" s="21">
        <v>3325</v>
      </c>
      <c r="BB10" s="21">
        <f t="shared" si="16"/>
        <v>8232</v>
      </c>
      <c r="BC10" s="21">
        <v>11557</v>
      </c>
      <c r="BD10" s="21">
        <v>4895</v>
      </c>
      <c r="BE10" s="21">
        <f t="shared" si="17"/>
        <v>3204</v>
      </c>
      <c r="BF10" s="21">
        <v>8099</v>
      </c>
      <c r="BG10" s="21"/>
      <c r="BH10" s="21">
        <f t="shared" si="18"/>
        <v>2002</v>
      </c>
      <c r="BI10" s="21">
        <v>2002</v>
      </c>
      <c r="BJ10" s="21"/>
      <c r="BK10" s="21">
        <f>BL10-BJ10</f>
        <v>0</v>
      </c>
      <c r="BL10" s="21"/>
      <c r="BM10" s="21">
        <v>143027</v>
      </c>
      <c r="BN10" s="21">
        <f>BO10-BM10</f>
        <v>166475</v>
      </c>
      <c r="BO10" s="21">
        <v>309502</v>
      </c>
      <c r="BP10" s="21">
        <v>94827</v>
      </c>
      <c r="BQ10" s="21">
        <f>BR10-BP10</f>
        <v>325742</v>
      </c>
      <c r="BR10" s="38">
        <v>420569</v>
      </c>
      <c r="BS10" s="21">
        <v>278</v>
      </c>
      <c r="BT10" s="21">
        <f t="shared" si="20"/>
        <v>211</v>
      </c>
      <c r="BU10" s="21">
        <v>489</v>
      </c>
      <c r="BV10" s="21">
        <v>62532</v>
      </c>
      <c r="BW10" s="21">
        <f t="shared" si="21"/>
        <v>196383</v>
      </c>
      <c r="BX10" s="21">
        <v>258915</v>
      </c>
      <c r="BY10" s="21"/>
      <c r="BZ10" s="21">
        <f t="shared" si="22"/>
        <v>8</v>
      </c>
      <c r="CA10" s="21">
        <v>8</v>
      </c>
      <c r="CB10" s="21"/>
      <c r="CC10" s="21">
        <f t="shared" si="23"/>
        <v>5593</v>
      </c>
      <c r="CD10" s="21">
        <v>5593</v>
      </c>
      <c r="CE10" s="21">
        <v>18966</v>
      </c>
      <c r="CF10" s="21">
        <f t="shared" si="24"/>
        <v>22177</v>
      </c>
      <c r="CG10" s="21">
        <v>41143</v>
      </c>
      <c r="CH10" s="21">
        <v>6998</v>
      </c>
      <c r="CI10" s="21">
        <f t="shared" si="25"/>
        <v>23847</v>
      </c>
      <c r="CJ10" s="21">
        <v>30845</v>
      </c>
      <c r="CK10" s="21">
        <v>41409</v>
      </c>
      <c r="CL10" s="21">
        <f t="shared" si="26"/>
        <v>14934</v>
      </c>
      <c r="CM10" s="21">
        <v>56343</v>
      </c>
      <c r="CN10" s="21"/>
      <c r="CO10" s="21">
        <f t="shared" si="27"/>
        <v>43424</v>
      </c>
      <c r="CP10" s="21">
        <v>43424</v>
      </c>
      <c r="CQ10" s="21">
        <v>15923</v>
      </c>
      <c r="CR10" s="21">
        <f t="shared" si="28"/>
        <v>35288</v>
      </c>
      <c r="CS10" s="21">
        <v>51211</v>
      </c>
      <c r="CT10" s="21"/>
      <c r="CU10" s="21"/>
      <c r="CV10" s="21"/>
      <c r="CW10" s="21"/>
      <c r="CX10" s="21">
        <f t="shared" si="30"/>
        <v>0</v>
      </c>
      <c r="CY10" s="21"/>
    </row>
    <row r="11" spans="1:103" x14ac:dyDescent="0.25">
      <c r="A11" s="21" t="s">
        <v>294</v>
      </c>
      <c r="B11" s="21">
        <v>5</v>
      </c>
      <c r="C11" s="21">
        <f t="shared" si="0"/>
        <v>2403</v>
      </c>
      <c r="D11" s="21">
        <v>2408</v>
      </c>
      <c r="E11" s="21"/>
      <c r="F11" s="21">
        <f t="shared" si="1"/>
        <v>3897</v>
      </c>
      <c r="G11" s="21">
        <v>3897</v>
      </c>
      <c r="H11" s="21"/>
      <c r="I11" s="21">
        <f t="shared" si="2"/>
        <v>1191576</v>
      </c>
      <c r="J11" s="21">
        <v>1191576</v>
      </c>
      <c r="K11" s="21"/>
      <c r="L11" s="21">
        <f t="shared" si="3"/>
        <v>20399</v>
      </c>
      <c r="M11" s="21">
        <v>20399</v>
      </c>
      <c r="N11" s="21">
        <v>4132</v>
      </c>
      <c r="O11" s="21">
        <f t="shared" si="4"/>
        <v>93675</v>
      </c>
      <c r="P11" s="21">
        <v>97807</v>
      </c>
      <c r="Q11" s="21">
        <v>895</v>
      </c>
      <c r="R11" s="21">
        <f t="shared" si="5"/>
        <v>12539</v>
      </c>
      <c r="S11" s="21">
        <v>13434</v>
      </c>
      <c r="T11" s="21">
        <v>3774</v>
      </c>
      <c r="U11" s="21">
        <f t="shared" si="29"/>
        <v>9303</v>
      </c>
      <c r="V11" s="21">
        <v>13077</v>
      </c>
      <c r="W11" s="21"/>
      <c r="X11" s="21">
        <f t="shared" si="6"/>
        <v>1622</v>
      </c>
      <c r="Y11" s="21">
        <v>1622</v>
      </c>
      <c r="Z11" s="21">
        <v>1</v>
      </c>
      <c r="AA11" s="21">
        <f t="shared" si="7"/>
        <v>281</v>
      </c>
      <c r="AB11" s="21">
        <v>282</v>
      </c>
      <c r="AC11" s="21">
        <v>3</v>
      </c>
      <c r="AD11" s="21">
        <f t="shared" si="8"/>
        <v>8</v>
      </c>
      <c r="AE11" s="21">
        <v>11</v>
      </c>
      <c r="AF11" s="21"/>
      <c r="AG11" s="21">
        <f t="shared" si="9"/>
        <v>350</v>
      </c>
      <c r="AH11" s="21">
        <v>350</v>
      </c>
      <c r="AI11" s="21">
        <v>749</v>
      </c>
      <c r="AJ11" s="21">
        <f t="shared" si="10"/>
        <v>10664</v>
      </c>
      <c r="AK11" s="45">
        <v>11413</v>
      </c>
      <c r="AL11" s="21">
        <v>247</v>
      </c>
      <c r="AM11" s="21">
        <f t="shared" si="11"/>
        <v>1111</v>
      </c>
      <c r="AN11" s="21">
        <v>1358</v>
      </c>
      <c r="AO11" s="21">
        <v>2573</v>
      </c>
      <c r="AP11" s="21">
        <f t="shared" si="12"/>
        <v>85171</v>
      </c>
      <c r="AQ11" s="21">
        <v>87744</v>
      </c>
      <c r="AR11" s="21">
        <v>4491</v>
      </c>
      <c r="AS11" s="21">
        <f t="shared" si="13"/>
        <v>124609</v>
      </c>
      <c r="AT11" s="21">
        <v>129100</v>
      </c>
      <c r="AU11" s="21">
        <v>2757</v>
      </c>
      <c r="AV11" s="21">
        <f t="shared" si="14"/>
        <v>25514</v>
      </c>
      <c r="AW11" s="21">
        <v>28271</v>
      </c>
      <c r="AX11" s="21">
        <v>92</v>
      </c>
      <c r="AY11" s="21">
        <f t="shared" si="15"/>
        <v>778</v>
      </c>
      <c r="AZ11" s="21">
        <v>870</v>
      </c>
      <c r="BA11" s="21">
        <v>458</v>
      </c>
      <c r="BB11" s="21">
        <f t="shared" si="16"/>
        <v>6576</v>
      </c>
      <c r="BC11" s="21">
        <v>7034</v>
      </c>
      <c r="BD11" s="21">
        <v>617</v>
      </c>
      <c r="BE11" s="21">
        <f t="shared" si="17"/>
        <v>2416</v>
      </c>
      <c r="BF11" s="21">
        <v>3033</v>
      </c>
      <c r="BG11" s="21"/>
      <c r="BH11" s="21">
        <f t="shared" si="18"/>
        <v>1885</v>
      </c>
      <c r="BI11" s="21">
        <v>1885</v>
      </c>
      <c r="BJ11" s="21"/>
      <c r="BK11" s="21">
        <f>BL11-BJ11</f>
        <v>0</v>
      </c>
      <c r="BL11" s="21"/>
      <c r="BM11" s="21">
        <v>7498</v>
      </c>
      <c r="BN11" s="21">
        <f>BO11-BM11</f>
        <v>127093</v>
      </c>
      <c r="BO11" s="21">
        <v>134591</v>
      </c>
      <c r="BP11" s="21">
        <v>10547</v>
      </c>
      <c r="BQ11" s="21">
        <f t="shared" si="19"/>
        <v>294652</v>
      </c>
      <c r="BR11" s="38">
        <v>305199</v>
      </c>
      <c r="BS11" s="21">
        <v>58</v>
      </c>
      <c r="BT11" s="21">
        <f t="shared" si="20"/>
        <v>33</v>
      </c>
      <c r="BU11" s="21">
        <v>91</v>
      </c>
      <c r="BV11" s="21">
        <v>3616</v>
      </c>
      <c r="BW11" s="21">
        <f t="shared" si="21"/>
        <v>174345</v>
      </c>
      <c r="BX11" s="21">
        <v>177961</v>
      </c>
      <c r="BY11" s="21"/>
      <c r="BZ11" s="21">
        <f t="shared" si="22"/>
        <v>8</v>
      </c>
      <c r="CA11" s="21">
        <v>8</v>
      </c>
      <c r="CB11" s="21"/>
      <c r="CC11" s="21">
        <f t="shared" si="23"/>
        <v>3376</v>
      </c>
      <c r="CD11" s="21">
        <v>3376</v>
      </c>
      <c r="CE11" s="21">
        <v>1824</v>
      </c>
      <c r="CF11" s="21">
        <f t="shared" si="24"/>
        <v>17660</v>
      </c>
      <c r="CG11" s="21">
        <v>19484</v>
      </c>
      <c r="CH11" s="21">
        <v>765</v>
      </c>
      <c r="CI11" s="21">
        <f t="shared" si="25"/>
        <v>18320</v>
      </c>
      <c r="CJ11" s="21">
        <v>19085</v>
      </c>
      <c r="CK11" s="21">
        <v>3453</v>
      </c>
      <c r="CL11" s="21">
        <f t="shared" si="26"/>
        <v>9528</v>
      </c>
      <c r="CM11" s="21">
        <v>12981</v>
      </c>
      <c r="CN11" s="21"/>
      <c r="CO11" s="21">
        <f t="shared" si="27"/>
        <v>39518</v>
      </c>
      <c r="CP11" s="21">
        <v>39518</v>
      </c>
      <c r="CQ11" s="21">
        <v>1639</v>
      </c>
      <c r="CR11" s="21">
        <f t="shared" si="28"/>
        <v>23553</v>
      </c>
      <c r="CS11" s="21">
        <v>25192</v>
      </c>
      <c r="CT11" s="21"/>
      <c r="CU11" s="21"/>
      <c r="CV11" s="21"/>
      <c r="CW11" s="21"/>
      <c r="CX11" s="21">
        <f t="shared" si="30"/>
        <v>0</v>
      </c>
      <c r="CY11" s="21"/>
    </row>
    <row r="12" spans="1:103" x14ac:dyDescent="0.25">
      <c r="A12" s="21" t="s">
        <v>291</v>
      </c>
      <c r="B12" s="21">
        <v>1</v>
      </c>
      <c r="C12" s="21">
        <f t="shared" si="0"/>
        <v>123</v>
      </c>
      <c r="D12" s="21">
        <v>124</v>
      </c>
      <c r="E12" s="21"/>
      <c r="F12" s="21">
        <f t="shared" si="1"/>
        <v>65</v>
      </c>
      <c r="G12" s="21">
        <v>65</v>
      </c>
      <c r="H12" s="21"/>
      <c r="I12" s="21">
        <f t="shared" si="2"/>
        <v>1469065</v>
      </c>
      <c r="J12" s="21">
        <v>1469065</v>
      </c>
      <c r="K12" s="21"/>
      <c r="L12" s="21">
        <f t="shared" si="3"/>
        <v>286</v>
      </c>
      <c r="M12" s="21">
        <v>286</v>
      </c>
      <c r="N12" s="21">
        <v>3087</v>
      </c>
      <c r="O12" s="21">
        <f t="shared" si="4"/>
        <v>13832</v>
      </c>
      <c r="P12" s="21">
        <v>16919</v>
      </c>
      <c r="Q12" s="21">
        <v>743</v>
      </c>
      <c r="R12" s="21">
        <f t="shared" si="5"/>
        <v>986</v>
      </c>
      <c r="S12" s="21">
        <v>1729</v>
      </c>
      <c r="T12" s="21">
        <v>2790</v>
      </c>
      <c r="U12" s="21">
        <f t="shared" si="29"/>
        <v>844</v>
      </c>
      <c r="V12" s="21">
        <v>3634</v>
      </c>
      <c r="W12" s="21"/>
      <c r="X12" s="21">
        <f t="shared" si="6"/>
        <v>21</v>
      </c>
      <c r="Y12" s="21">
        <v>21</v>
      </c>
      <c r="Z12" s="21"/>
      <c r="AA12" s="21">
        <f t="shared" si="7"/>
        <v>5</v>
      </c>
      <c r="AB12" s="21">
        <v>5</v>
      </c>
      <c r="AC12" s="21"/>
      <c r="AD12" s="21"/>
      <c r="AE12" s="21"/>
      <c r="AF12" s="21"/>
      <c r="AG12" s="21">
        <f t="shared" si="9"/>
        <v>106</v>
      </c>
      <c r="AH12" s="21">
        <v>106</v>
      </c>
      <c r="AI12" s="21">
        <v>525</v>
      </c>
      <c r="AJ12" s="21">
        <f t="shared" si="10"/>
        <v>1955</v>
      </c>
      <c r="AK12" s="45">
        <v>2480</v>
      </c>
      <c r="AL12" s="21">
        <v>82</v>
      </c>
      <c r="AM12" s="21">
        <f t="shared" si="11"/>
        <v>76</v>
      </c>
      <c r="AN12" s="21">
        <v>158</v>
      </c>
      <c r="AO12" s="21">
        <v>1948</v>
      </c>
      <c r="AP12" s="21">
        <f t="shared" si="12"/>
        <v>5221</v>
      </c>
      <c r="AQ12" s="21">
        <v>7169</v>
      </c>
      <c r="AR12" s="21">
        <v>3410</v>
      </c>
      <c r="AS12" s="21">
        <f t="shared" si="13"/>
        <v>5679</v>
      </c>
      <c r="AT12" s="21">
        <v>9089</v>
      </c>
      <c r="AU12" s="21">
        <v>2836</v>
      </c>
      <c r="AV12" s="21">
        <f t="shared" si="14"/>
        <v>6495</v>
      </c>
      <c r="AW12" s="21">
        <v>9331</v>
      </c>
      <c r="AX12" s="21">
        <v>73</v>
      </c>
      <c r="AY12" s="21">
        <f t="shared" si="15"/>
        <v>94</v>
      </c>
      <c r="AZ12" s="21">
        <v>167</v>
      </c>
      <c r="BA12" s="21">
        <v>419</v>
      </c>
      <c r="BB12" s="21">
        <f t="shared" si="16"/>
        <v>774</v>
      </c>
      <c r="BC12" s="21">
        <v>1193</v>
      </c>
      <c r="BD12" s="21">
        <v>435</v>
      </c>
      <c r="BE12" s="21">
        <f t="shared" si="17"/>
        <v>322</v>
      </c>
      <c r="BF12" s="21">
        <v>757</v>
      </c>
      <c r="BG12" s="21"/>
      <c r="BH12" s="21">
        <f t="shared" si="18"/>
        <v>91</v>
      </c>
      <c r="BI12" s="21">
        <v>91</v>
      </c>
      <c r="BJ12" s="21"/>
      <c r="BK12" s="21">
        <f>BL12-BJ12</f>
        <v>0</v>
      </c>
      <c r="BL12" s="21"/>
      <c r="BM12" s="21">
        <v>7904</v>
      </c>
      <c r="BN12" s="21">
        <f>BO12-BM12</f>
        <v>13771</v>
      </c>
      <c r="BO12" s="21">
        <v>21675</v>
      </c>
      <c r="BP12" s="21">
        <v>9152</v>
      </c>
      <c r="BQ12" s="21">
        <f t="shared" si="19"/>
        <v>12107</v>
      </c>
      <c r="BR12" s="38">
        <v>21259</v>
      </c>
      <c r="BS12" s="21">
        <v>53</v>
      </c>
      <c r="BT12" s="21">
        <f t="shared" si="20"/>
        <v>33</v>
      </c>
      <c r="BU12" s="21">
        <v>86</v>
      </c>
      <c r="BV12" s="21">
        <v>3255</v>
      </c>
      <c r="BW12" s="21">
        <f t="shared" si="21"/>
        <v>5898</v>
      </c>
      <c r="BX12" s="21">
        <v>9153</v>
      </c>
      <c r="BY12" s="21"/>
      <c r="BZ12" s="21">
        <f t="shared" si="22"/>
        <v>0</v>
      </c>
      <c r="CA12" s="21"/>
      <c r="CB12" s="21"/>
      <c r="CC12" s="21">
        <f t="shared" si="23"/>
        <v>1559</v>
      </c>
      <c r="CD12" s="21">
        <v>1559</v>
      </c>
      <c r="CE12" s="21">
        <v>1568</v>
      </c>
      <c r="CF12" s="21">
        <f t="shared" si="24"/>
        <v>1854</v>
      </c>
      <c r="CG12" s="21">
        <v>3422</v>
      </c>
      <c r="CH12" s="21">
        <v>601</v>
      </c>
      <c r="CI12" s="21">
        <f t="shared" si="25"/>
        <v>2213</v>
      </c>
      <c r="CJ12" s="21">
        <v>2814</v>
      </c>
      <c r="CK12" s="21">
        <v>2640</v>
      </c>
      <c r="CL12" s="21">
        <f t="shared" si="26"/>
        <v>1444</v>
      </c>
      <c r="CM12" s="21">
        <v>4084</v>
      </c>
      <c r="CN12" s="21"/>
      <c r="CO12" s="21">
        <f t="shared" si="27"/>
        <v>1946</v>
      </c>
      <c r="CP12" s="21">
        <v>1946</v>
      </c>
      <c r="CQ12" s="21">
        <v>1641</v>
      </c>
      <c r="CR12" s="21">
        <f t="shared" si="28"/>
        <v>4580</v>
      </c>
      <c r="CS12" s="21">
        <v>6221</v>
      </c>
      <c r="CT12" s="21"/>
      <c r="CU12" s="21"/>
      <c r="CV12" s="21"/>
      <c r="CW12" s="21"/>
      <c r="CX12" s="21">
        <f t="shared" si="30"/>
        <v>0</v>
      </c>
      <c r="CY12" s="21"/>
    </row>
    <row r="13" spans="1:103" x14ac:dyDescent="0.25">
      <c r="A13" s="21" t="s">
        <v>292</v>
      </c>
      <c r="B13" s="21"/>
      <c r="C13" s="21">
        <f t="shared" si="0"/>
        <v>14</v>
      </c>
      <c r="D13" s="21">
        <v>14</v>
      </c>
      <c r="E13" s="21"/>
      <c r="F13" s="21">
        <f t="shared" si="1"/>
        <v>86</v>
      </c>
      <c r="G13" s="21">
        <v>86</v>
      </c>
      <c r="H13" s="21"/>
      <c r="I13" s="21">
        <f t="shared" si="2"/>
        <v>124439</v>
      </c>
      <c r="J13" s="21">
        <v>124439</v>
      </c>
      <c r="K13" s="21"/>
      <c r="L13" s="21">
        <f t="shared" si="3"/>
        <v>248</v>
      </c>
      <c r="M13" s="21">
        <v>248</v>
      </c>
      <c r="N13" s="21">
        <v>5271</v>
      </c>
      <c r="O13" s="21">
        <f t="shared" si="4"/>
        <v>4221</v>
      </c>
      <c r="P13" s="21">
        <v>9492</v>
      </c>
      <c r="Q13" s="21">
        <v>1336</v>
      </c>
      <c r="R13" s="21">
        <f t="shared" si="5"/>
        <v>767</v>
      </c>
      <c r="S13" s="21">
        <v>2103</v>
      </c>
      <c r="T13" s="21">
        <v>4496</v>
      </c>
      <c r="U13" s="21">
        <f t="shared" si="29"/>
        <v>559</v>
      </c>
      <c r="V13" s="21">
        <v>5055</v>
      </c>
      <c r="W13" s="21"/>
      <c r="X13" s="21">
        <f t="shared" si="6"/>
        <v>11</v>
      </c>
      <c r="Y13" s="21">
        <v>11</v>
      </c>
      <c r="Z13" s="21"/>
      <c r="AA13" s="21"/>
      <c r="AB13" s="21"/>
      <c r="AC13" s="21"/>
      <c r="AD13" s="21"/>
      <c r="AE13" s="21"/>
      <c r="AF13" s="21"/>
      <c r="AG13" s="21">
        <f t="shared" si="9"/>
        <v>123</v>
      </c>
      <c r="AH13" s="21">
        <v>123</v>
      </c>
      <c r="AI13" s="21">
        <v>1077</v>
      </c>
      <c r="AJ13" s="21">
        <f t="shared" si="10"/>
        <v>1292</v>
      </c>
      <c r="AK13" s="45">
        <v>2369</v>
      </c>
      <c r="AL13" s="21">
        <v>38</v>
      </c>
      <c r="AM13" s="21">
        <f t="shared" si="11"/>
        <v>48</v>
      </c>
      <c r="AN13" s="21">
        <v>86</v>
      </c>
      <c r="AO13" s="21">
        <v>3142</v>
      </c>
      <c r="AP13" s="21">
        <f t="shared" si="12"/>
        <v>2523</v>
      </c>
      <c r="AQ13" s="21">
        <v>5665</v>
      </c>
      <c r="AR13" s="21">
        <v>5881</v>
      </c>
      <c r="AS13" s="21">
        <f t="shared" si="13"/>
        <v>3209</v>
      </c>
      <c r="AT13" s="21">
        <v>9090</v>
      </c>
      <c r="AU13" s="21">
        <v>5831</v>
      </c>
      <c r="AV13" s="21">
        <f t="shared" si="14"/>
        <v>4764</v>
      </c>
      <c r="AW13" s="21">
        <v>10595</v>
      </c>
      <c r="AX13" s="21">
        <v>75</v>
      </c>
      <c r="AY13" s="21">
        <f t="shared" si="15"/>
        <v>130</v>
      </c>
      <c r="AZ13" s="21">
        <v>205</v>
      </c>
      <c r="BA13" s="21">
        <v>712</v>
      </c>
      <c r="BB13" s="21">
        <f t="shared" si="16"/>
        <v>427</v>
      </c>
      <c r="BC13" s="21">
        <v>1139</v>
      </c>
      <c r="BD13" s="21">
        <v>810</v>
      </c>
      <c r="BE13" s="21">
        <f t="shared" si="17"/>
        <v>117</v>
      </c>
      <c r="BF13" s="21">
        <v>927</v>
      </c>
      <c r="BG13" s="21"/>
      <c r="BH13" s="21">
        <f t="shared" si="18"/>
        <v>26</v>
      </c>
      <c r="BI13" s="21">
        <v>26</v>
      </c>
      <c r="BJ13" s="21"/>
      <c r="BK13" s="21">
        <f>BL13-BJ13</f>
        <v>0</v>
      </c>
      <c r="BL13" s="21"/>
      <c r="BM13" s="21">
        <v>17032</v>
      </c>
      <c r="BN13" s="21">
        <f>BO13-BM13</f>
        <v>12878</v>
      </c>
      <c r="BO13" s="21">
        <v>29910</v>
      </c>
      <c r="BP13" s="21">
        <v>12501</v>
      </c>
      <c r="BQ13" s="21">
        <f t="shared" si="19"/>
        <v>11183</v>
      </c>
      <c r="BR13" s="38">
        <v>23684</v>
      </c>
      <c r="BS13" s="21">
        <v>81</v>
      </c>
      <c r="BT13" s="21">
        <f t="shared" si="20"/>
        <v>60</v>
      </c>
      <c r="BU13" s="21">
        <v>141</v>
      </c>
      <c r="BV13" s="21">
        <v>5367</v>
      </c>
      <c r="BW13" s="21">
        <f t="shared" si="21"/>
        <v>5634</v>
      </c>
      <c r="BX13" s="21">
        <v>11001</v>
      </c>
      <c r="BY13" s="21"/>
      <c r="BZ13" s="21">
        <f t="shared" si="22"/>
        <v>0</v>
      </c>
      <c r="CA13" s="21"/>
      <c r="CB13" s="21"/>
      <c r="CC13" s="21">
        <f t="shared" si="23"/>
        <v>658</v>
      </c>
      <c r="CD13" s="21">
        <v>658</v>
      </c>
      <c r="CE13" s="21">
        <v>2580</v>
      </c>
      <c r="CF13" s="21">
        <f t="shared" si="24"/>
        <v>1159</v>
      </c>
      <c r="CG13" s="21">
        <v>3739</v>
      </c>
      <c r="CH13" s="21">
        <v>861</v>
      </c>
      <c r="CI13" s="21">
        <f t="shared" si="25"/>
        <v>1445</v>
      </c>
      <c r="CJ13" s="21">
        <v>2306</v>
      </c>
      <c r="CK13" s="21">
        <v>4560</v>
      </c>
      <c r="CL13" s="21">
        <f t="shared" si="26"/>
        <v>1610</v>
      </c>
      <c r="CM13" s="21">
        <v>6170</v>
      </c>
      <c r="CN13" s="21"/>
      <c r="CO13" s="21">
        <f t="shared" si="27"/>
        <v>1483</v>
      </c>
      <c r="CP13" s="21">
        <v>1483</v>
      </c>
      <c r="CQ13" s="21">
        <v>2730</v>
      </c>
      <c r="CR13" s="21">
        <f t="shared" si="28"/>
        <v>3926</v>
      </c>
      <c r="CS13" s="21">
        <v>6656</v>
      </c>
      <c r="CT13" s="21"/>
      <c r="CU13" s="21"/>
      <c r="CV13" s="21"/>
      <c r="CW13" s="21"/>
      <c r="CX13" s="21">
        <f t="shared" si="30"/>
        <v>0</v>
      </c>
      <c r="CY13" s="21"/>
    </row>
    <row r="14" spans="1:103" x14ac:dyDescent="0.25">
      <c r="A14" s="21" t="s">
        <v>293</v>
      </c>
      <c r="B14" s="21"/>
      <c r="C14" s="21"/>
      <c r="D14" s="21"/>
      <c r="E14" s="21"/>
      <c r="F14" s="21">
        <f t="shared" si="1"/>
        <v>34</v>
      </c>
      <c r="G14" s="21">
        <v>34</v>
      </c>
      <c r="H14" s="21"/>
      <c r="I14" s="21">
        <f t="shared" si="2"/>
        <v>1750937</v>
      </c>
      <c r="J14" s="21">
        <v>1750937</v>
      </c>
      <c r="K14" s="21"/>
      <c r="L14" s="21">
        <f t="shared" si="3"/>
        <v>990</v>
      </c>
      <c r="M14" s="21">
        <v>990</v>
      </c>
      <c r="N14" s="21">
        <v>37959</v>
      </c>
      <c r="O14" s="21">
        <f t="shared" si="4"/>
        <v>8386</v>
      </c>
      <c r="P14" s="21">
        <v>46345</v>
      </c>
      <c r="Q14" s="21">
        <v>10214</v>
      </c>
      <c r="R14" s="21">
        <f t="shared" si="5"/>
        <v>1728</v>
      </c>
      <c r="S14" s="21">
        <v>11942</v>
      </c>
      <c r="T14" s="21">
        <v>15725</v>
      </c>
      <c r="U14" s="21">
        <f t="shared" si="29"/>
        <v>15195</v>
      </c>
      <c r="V14" s="21">
        <v>30920</v>
      </c>
      <c r="W14" s="21"/>
      <c r="X14" s="21">
        <f t="shared" si="6"/>
        <v>1</v>
      </c>
      <c r="Y14" s="21">
        <v>1</v>
      </c>
      <c r="Z14" s="21"/>
      <c r="AA14" s="21"/>
      <c r="AB14" s="21"/>
      <c r="AC14" s="21"/>
      <c r="AD14" s="21"/>
      <c r="AE14" s="21"/>
      <c r="AF14" s="21"/>
      <c r="AG14" s="21">
        <f t="shared" si="9"/>
        <v>31</v>
      </c>
      <c r="AH14" s="21">
        <v>31</v>
      </c>
      <c r="AI14" s="21">
        <v>5334</v>
      </c>
      <c r="AJ14" s="21">
        <f t="shared" si="10"/>
        <v>9876</v>
      </c>
      <c r="AK14" s="45">
        <v>15210</v>
      </c>
      <c r="AL14" s="21"/>
      <c r="AM14" s="21">
        <f t="shared" si="11"/>
        <v>10</v>
      </c>
      <c r="AN14" s="21">
        <v>10</v>
      </c>
      <c r="AO14" s="21">
        <v>18586</v>
      </c>
      <c r="AP14" s="21">
        <f t="shared" si="12"/>
        <v>1122</v>
      </c>
      <c r="AQ14" s="21">
        <v>19708</v>
      </c>
      <c r="AR14" s="21">
        <v>39505</v>
      </c>
      <c r="AS14" s="21">
        <f t="shared" si="13"/>
        <v>9538</v>
      </c>
      <c r="AT14" s="21">
        <v>49043</v>
      </c>
      <c r="AU14" s="21">
        <v>22420</v>
      </c>
      <c r="AV14" s="21">
        <f t="shared" si="14"/>
        <v>3687</v>
      </c>
      <c r="AW14" s="21">
        <v>26107</v>
      </c>
      <c r="AX14" s="21">
        <v>100</v>
      </c>
      <c r="AY14" s="21">
        <f t="shared" si="15"/>
        <v>41</v>
      </c>
      <c r="AZ14" s="21">
        <v>141</v>
      </c>
      <c r="BA14" s="21">
        <v>1736</v>
      </c>
      <c r="BB14" s="21">
        <f t="shared" si="16"/>
        <v>455</v>
      </c>
      <c r="BC14" s="21">
        <v>2191</v>
      </c>
      <c r="BD14" s="21">
        <v>3033</v>
      </c>
      <c r="BE14" s="21">
        <f t="shared" si="17"/>
        <v>349</v>
      </c>
      <c r="BF14" s="21">
        <v>3382</v>
      </c>
      <c r="BG14" s="21"/>
      <c r="BH14" s="21">
        <f t="shared" si="18"/>
        <v>0</v>
      </c>
      <c r="BI14" s="21"/>
      <c r="BJ14" s="21"/>
      <c r="BK14" s="21">
        <f>BL14-BJ14</f>
        <v>0</v>
      </c>
      <c r="BL14" s="21"/>
      <c r="BM14" s="21">
        <v>110593</v>
      </c>
      <c r="BN14" s="21">
        <f>BO14-BM14</f>
        <v>12733</v>
      </c>
      <c r="BO14" s="21">
        <v>123326</v>
      </c>
      <c r="BP14" s="21">
        <v>62627</v>
      </c>
      <c r="BQ14" s="21">
        <f t="shared" si="19"/>
        <v>7800</v>
      </c>
      <c r="BR14" s="38">
        <v>70427</v>
      </c>
      <c r="BS14" s="21">
        <v>86</v>
      </c>
      <c r="BT14" s="21">
        <f t="shared" si="20"/>
        <v>85</v>
      </c>
      <c r="BU14" s="21">
        <v>171</v>
      </c>
      <c r="BV14" s="21">
        <v>50294</v>
      </c>
      <c r="BW14" s="21">
        <f t="shared" si="21"/>
        <v>10506</v>
      </c>
      <c r="BX14" s="21">
        <v>60800</v>
      </c>
      <c r="BY14" s="21"/>
      <c r="BZ14" s="21">
        <f t="shared" si="22"/>
        <v>0</v>
      </c>
      <c r="CA14" s="21"/>
      <c r="CB14" s="21"/>
      <c r="CC14" s="21"/>
      <c r="CD14" s="21"/>
      <c r="CE14" s="21">
        <v>12994</v>
      </c>
      <c r="CF14" s="21">
        <f t="shared" si="24"/>
        <v>1504</v>
      </c>
      <c r="CG14" s="21">
        <v>14498</v>
      </c>
      <c r="CH14" s="21">
        <v>2685</v>
      </c>
      <c r="CI14" s="21">
        <f t="shared" si="25"/>
        <v>940</v>
      </c>
      <c r="CJ14" s="21">
        <v>3625</v>
      </c>
      <c r="CK14" s="21">
        <v>30756</v>
      </c>
      <c r="CL14" s="21">
        <f t="shared" si="26"/>
        <v>2352</v>
      </c>
      <c r="CM14" s="21">
        <v>33108</v>
      </c>
      <c r="CN14" s="21"/>
      <c r="CO14" s="21">
        <f t="shared" si="27"/>
        <v>477</v>
      </c>
      <c r="CP14" s="21">
        <v>477</v>
      </c>
      <c r="CQ14" s="21">
        <v>9913</v>
      </c>
      <c r="CR14" s="21">
        <f t="shared" si="28"/>
        <v>3229</v>
      </c>
      <c r="CS14" s="21">
        <v>13142</v>
      </c>
      <c r="CT14" s="21"/>
      <c r="CU14" s="21"/>
      <c r="CV14" s="21"/>
      <c r="CW14" s="21"/>
      <c r="CX14" s="21">
        <f t="shared" si="30"/>
        <v>0</v>
      </c>
      <c r="CY14" s="21"/>
    </row>
    <row r="15" spans="1:103" x14ac:dyDescent="0.25">
      <c r="A15" s="21" t="s">
        <v>295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>
        <v>2086</v>
      </c>
      <c r="CI15" s="21">
        <f t="shared" si="25"/>
        <v>929</v>
      </c>
      <c r="CJ15" s="21">
        <v>3015</v>
      </c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</row>
  </sheetData>
  <mergeCells count="34"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BS3:BU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CQ3:CS3"/>
    <mergeCell ref="CT3:CV3"/>
    <mergeCell ref="CW3:CY3"/>
    <mergeCell ref="BV3:BX3"/>
    <mergeCell ref="CB3:CD3"/>
    <mergeCell ref="CE3:CG3"/>
    <mergeCell ref="CH3:CJ3"/>
    <mergeCell ref="CK3:CM3"/>
    <mergeCell ref="CN3:CP3"/>
    <mergeCell ref="BY3:CA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1" style="2" customWidth="1"/>
    <col min="2" max="69" width="14.7109375" customWidth="1"/>
  </cols>
  <sheetData>
    <row r="1" spans="1:69" ht="18.75" x14ac:dyDescent="0.3">
      <c r="A1" s="31" t="s">
        <v>189</v>
      </c>
    </row>
    <row r="3" spans="1:69" s="32" customFormat="1" x14ac:dyDescent="0.25">
      <c r="A3" s="33" t="s">
        <v>0</v>
      </c>
      <c r="B3" s="212" t="s">
        <v>1</v>
      </c>
      <c r="C3" s="212"/>
      <c r="D3" s="212" t="s">
        <v>2</v>
      </c>
      <c r="E3" s="212"/>
      <c r="F3" s="212" t="s">
        <v>3</v>
      </c>
      <c r="G3" s="212"/>
      <c r="H3" s="212" t="s">
        <v>4</v>
      </c>
      <c r="I3" s="212"/>
      <c r="J3" s="212" t="s">
        <v>5</v>
      </c>
      <c r="K3" s="212"/>
      <c r="L3" s="212" t="s">
        <v>6</v>
      </c>
      <c r="M3" s="212"/>
      <c r="N3" s="212" t="s">
        <v>7</v>
      </c>
      <c r="O3" s="212"/>
      <c r="P3" s="212" t="s">
        <v>8</v>
      </c>
      <c r="Q3" s="212"/>
      <c r="R3" s="212" t="s">
        <v>9</v>
      </c>
      <c r="S3" s="212"/>
      <c r="T3" s="212" t="s">
        <v>10</v>
      </c>
      <c r="U3" s="212"/>
      <c r="V3" s="212" t="s">
        <v>11</v>
      </c>
      <c r="W3" s="212"/>
      <c r="X3" s="212" t="s">
        <v>12</v>
      </c>
      <c r="Y3" s="212"/>
      <c r="Z3" s="212" t="s">
        <v>13</v>
      </c>
      <c r="AA3" s="212"/>
      <c r="AB3" s="212" t="s">
        <v>14</v>
      </c>
      <c r="AC3" s="212"/>
      <c r="AD3" s="212" t="s">
        <v>15</v>
      </c>
      <c r="AE3" s="212"/>
      <c r="AF3" s="212" t="s">
        <v>16</v>
      </c>
      <c r="AG3" s="212"/>
      <c r="AH3" s="212" t="s">
        <v>17</v>
      </c>
      <c r="AI3" s="212"/>
      <c r="AJ3" s="212" t="s">
        <v>18</v>
      </c>
      <c r="AK3" s="212"/>
      <c r="AL3" s="212" t="s">
        <v>19</v>
      </c>
      <c r="AM3" s="212"/>
      <c r="AN3" s="212" t="s">
        <v>20</v>
      </c>
      <c r="AO3" s="212"/>
      <c r="AP3" s="212" t="s">
        <v>21</v>
      </c>
      <c r="AQ3" s="212"/>
      <c r="AR3" s="212" t="s">
        <v>147</v>
      </c>
      <c r="AS3" s="212"/>
      <c r="AT3" s="212" t="s">
        <v>148</v>
      </c>
      <c r="AU3" s="212"/>
      <c r="AV3" s="212" t="s">
        <v>22</v>
      </c>
      <c r="AW3" s="212"/>
      <c r="AX3" s="212" t="s">
        <v>23</v>
      </c>
      <c r="AY3" s="212"/>
      <c r="AZ3" s="212" t="s">
        <v>332</v>
      </c>
      <c r="BA3" s="212"/>
      <c r="BB3" s="212" t="s">
        <v>24</v>
      </c>
      <c r="BC3" s="212"/>
      <c r="BD3" s="212" t="s">
        <v>25</v>
      </c>
      <c r="BE3" s="212"/>
      <c r="BF3" s="212" t="s">
        <v>26</v>
      </c>
      <c r="BG3" s="212"/>
      <c r="BH3" s="212" t="s">
        <v>27</v>
      </c>
      <c r="BI3" s="212"/>
      <c r="BJ3" s="212" t="s">
        <v>28</v>
      </c>
      <c r="BK3" s="212"/>
      <c r="BL3" s="212" t="s">
        <v>29</v>
      </c>
      <c r="BM3" s="212"/>
      <c r="BN3" s="212" t="s">
        <v>30</v>
      </c>
      <c r="BO3" s="212"/>
      <c r="BP3" s="212" t="s">
        <v>31</v>
      </c>
      <c r="BQ3" s="212"/>
    </row>
    <row r="4" spans="1:69" s="61" customFormat="1" ht="45" x14ac:dyDescent="0.25">
      <c r="A4" s="60"/>
      <c r="B4" s="60" t="s">
        <v>321</v>
      </c>
      <c r="C4" s="60" t="s">
        <v>322</v>
      </c>
      <c r="D4" s="60" t="s">
        <v>321</v>
      </c>
      <c r="E4" s="60" t="s">
        <v>322</v>
      </c>
      <c r="F4" s="60" t="s">
        <v>321</v>
      </c>
      <c r="G4" s="60" t="s">
        <v>322</v>
      </c>
      <c r="H4" s="60" t="s">
        <v>321</v>
      </c>
      <c r="I4" s="60" t="s">
        <v>322</v>
      </c>
      <c r="J4" s="60" t="s">
        <v>321</v>
      </c>
      <c r="K4" s="60" t="s">
        <v>322</v>
      </c>
      <c r="L4" s="60" t="s">
        <v>321</v>
      </c>
      <c r="M4" s="60" t="s">
        <v>322</v>
      </c>
      <c r="N4" s="60" t="s">
        <v>321</v>
      </c>
      <c r="O4" s="60" t="s">
        <v>322</v>
      </c>
      <c r="P4" s="60" t="s">
        <v>321</v>
      </c>
      <c r="Q4" s="60" t="s">
        <v>322</v>
      </c>
      <c r="R4" s="60" t="s">
        <v>321</v>
      </c>
      <c r="S4" s="60" t="s">
        <v>322</v>
      </c>
      <c r="T4" s="60" t="s">
        <v>321</v>
      </c>
      <c r="U4" s="60" t="s">
        <v>322</v>
      </c>
      <c r="V4" s="60" t="s">
        <v>321</v>
      </c>
      <c r="W4" s="60" t="s">
        <v>322</v>
      </c>
      <c r="X4" s="60" t="s">
        <v>321</v>
      </c>
      <c r="Y4" s="60" t="s">
        <v>322</v>
      </c>
      <c r="Z4" s="60" t="s">
        <v>321</v>
      </c>
      <c r="AA4" s="60" t="s">
        <v>322</v>
      </c>
      <c r="AB4" s="60" t="s">
        <v>321</v>
      </c>
      <c r="AC4" s="60" t="s">
        <v>322</v>
      </c>
      <c r="AD4" s="60" t="s">
        <v>321</v>
      </c>
      <c r="AE4" s="60" t="s">
        <v>322</v>
      </c>
      <c r="AF4" s="60" t="s">
        <v>321</v>
      </c>
      <c r="AG4" s="60" t="s">
        <v>322</v>
      </c>
      <c r="AH4" s="60" t="s">
        <v>321</v>
      </c>
      <c r="AI4" s="60" t="s">
        <v>322</v>
      </c>
      <c r="AJ4" s="60" t="s">
        <v>321</v>
      </c>
      <c r="AK4" s="60" t="s">
        <v>322</v>
      </c>
      <c r="AL4" s="60" t="s">
        <v>321</v>
      </c>
      <c r="AM4" s="60" t="s">
        <v>322</v>
      </c>
      <c r="AN4" s="60" t="s">
        <v>321</v>
      </c>
      <c r="AO4" s="60" t="s">
        <v>322</v>
      </c>
      <c r="AP4" s="60" t="s">
        <v>321</v>
      </c>
      <c r="AQ4" s="60" t="s">
        <v>322</v>
      </c>
      <c r="AR4" s="60" t="s">
        <v>321</v>
      </c>
      <c r="AS4" s="60" t="s">
        <v>322</v>
      </c>
      <c r="AT4" s="60" t="s">
        <v>321</v>
      </c>
      <c r="AU4" s="60" t="s">
        <v>322</v>
      </c>
      <c r="AV4" s="60" t="s">
        <v>321</v>
      </c>
      <c r="AW4" s="60" t="s">
        <v>322</v>
      </c>
      <c r="AX4" s="60" t="s">
        <v>321</v>
      </c>
      <c r="AY4" s="60" t="s">
        <v>322</v>
      </c>
      <c r="AZ4" s="60" t="s">
        <v>321</v>
      </c>
      <c r="BA4" s="60" t="s">
        <v>322</v>
      </c>
      <c r="BB4" s="60" t="s">
        <v>321</v>
      </c>
      <c r="BC4" s="60" t="s">
        <v>322</v>
      </c>
      <c r="BD4" s="60" t="s">
        <v>321</v>
      </c>
      <c r="BE4" s="60" t="s">
        <v>322</v>
      </c>
      <c r="BF4" s="60" t="s">
        <v>321</v>
      </c>
      <c r="BG4" s="60" t="s">
        <v>322</v>
      </c>
      <c r="BH4" s="60" t="s">
        <v>321</v>
      </c>
      <c r="BI4" s="60" t="s">
        <v>322</v>
      </c>
      <c r="BJ4" s="60" t="s">
        <v>321</v>
      </c>
      <c r="BK4" s="60" t="s">
        <v>322</v>
      </c>
      <c r="BL4" s="60" t="s">
        <v>321</v>
      </c>
      <c r="BM4" s="60" t="s">
        <v>322</v>
      </c>
      <c r="BN4" s="60" t="s">
        <v>321</v>
      </c>
      <c r="BO4" s="60" t="s">
        <v>322</v>
      </c>
      <c r="BP4" s="60" t="s">
        <v>321</v>
      </c>
      <c r="BQ4" s="60" t="s">
        <v>322</v>
      </c>
    </row>
    <row r="5" spans="1:69" x14ac:dyDescent="0.25">
      <c r="A5" s="37" t="s">
        <v>190</v>
      </c>
      <c r="B5" s="38"/>
      <c r="C5" s="38"/>
      <c r="D5" s="53">
        <v>0.31</v>
      </c>
      <c r="E5" s="53">
        <v>1.04</v>
      </c>
      <c r="F5" s="54">
        <v>-0.36969999999999997</v>
      </c>
      <c r="G5" s="54">
        <v>-0.12570000000000001</v>
      </c>
      <c r="H5" s="53">
        <v>0.25</v>
      </c>
      <c r="I5" s="53">
        <v>0.28000000000000003</v>
      </c>
      <c r="J5" s="53">
        <v>0.23</v>
      </c>
      <c r="K5" s="53">
        <v>0.17</v>
      </c>
      <c r="L5" s="53">
        <v>0.23</v>
      </c>
      <c r="M5" s="53">
        <v>0.28999999999999998</v>
      </c>
      <c r="N5" s="54">
        <v>0.31309999999999999</v>
      </c>
      <c r="O5" s="54">
        <v>7.9399999999999998E-2</v>
      </c>
      <c r="P5" s="53">
        <v>0.14000000000000001</v>
      </c>
      <c r="Q5" s="53">
        <v>0.4</v>
      </c>
      <c r="R5" s="53">
        <v>-0.66</v>
      </c>
      <c r="S5" s="53">
        <v>0.72</v>
      </c>
      <c r="T5" s="53">
        <v>26.64</v>
      </c>
      <c r="U5" s="53">
        <v>70.03</v>
      </c>
      <c r="V5" s="54">
        <v>-5.0000000000000001E-4</v>
      </c>
      <c r="W5" s="54">
        <v>5.7000000000000002E-3</v>
      </c>
      <c r="X5" s="53"/>
      <c r="Y5" s="53">
        <v>0.34</v>
      </c>
      <c r="Z5" s="38">
        <v>3.01</v>
      </c>
      <c r="AA5" s="38">
        <v>8.5500000000000007</v>
      </c>
      <c r="AB5" s="54">
        <v>0.15210000000000001</v>
      </c>
      <c r="AC5" s="54">
        <v>0.18149999999999999</v>
      </c>
      <c r="AD5" s="53">
        <v>0.19</v>
      </c>
      <c r="AE5" s="53">
        <v>0.17</v>
      </c>
      <c r="AF5" s="54">
        <v>-5.8400000000000001E-2</v>
      </c>
      <c r="AG5" s="54">
        <v>0.2432</v>
      </c>
      <c r="AH5" s="38">
        <v>0.57999999999999996</v>
      </c>
      <c r="AI5" s="38">
        <v>0.62</v>
      </c>
      <c r="AJ5" s="53">
        <v>0.38</v>
      </c>
      <c r="AK5" s="53">
        <v>0.38</v>
      </c>
      <c r="AL5" s="55">
        <v>0.90600000000000003</v>
      </c>
      <c r="AM5" s="55">
        <v>0.84199999999999997</v>
      </c>
      <c r="AN5" s="53">
        <v>0.28999999999999998</v>
      </c>
      <c r="AO5" s="53">
        <v>0.26</v>
      </c>
      <c r="AP5" s="84">
        <v>1.3629282638001089E-2</v>
      </c>
      <c r="AQ5" s="84">
        <v>-6.5486386285524195E-2</v>
      </c>
      <c r="AR5" s="38">
        <v>24.8</v>
      </c>
      <c r="AS5" s="38">
        <v>5.76</v>
      </c>
      <c r="AT5" s="38">
        <v>18.07</v>
      </c>
      <c r="AU5" s="38">
        <v>14.89</v>
      </c>
      <c r="AV5" s="54">
        <v>0.35389999999999999</v>
      </c>
      <c r="AW5" s="54">
        <v>0.3896</v>
      </c>
      <c r="AX5" s="53">
        <v>0.24</v>
      </c>
      <c r="AY5" s="53">
        <v>0.22</v>
      </c>
      <c r="AZ5" s="53"/>
      <c r="BA5" s="53"/>
      <c r="BB5" s="38">
        <v>0.39</v>
      </c>
      <c r="BC5" s="38">
        <v>0.67</v>
      </c>
      <c r="BD5" s="54">
        <v>6.2E-2</v>
      </c>
      <c r="BE5" s="54">
        <v>0.20899999999999999</v>
      </c>
      <c r="BF5" s="54">
        <v>0.33739999999999998</v>
      </c>
      <c r="BG5" s="54">
        <v>0.32800000000000001</v>
      </c>
      <c r="BH5" s="54">
        <v>0.12479999999999999</v>
      </c>
      <c r="BI5" s="54">
        <v>0.1217</v>
      </c>
      <c r="BJ5" s="54">
        <v>0.27739999999999998</v>
      </c>
      <c r="BK5" s="54">
        <v>0.29799999999999999</v>
      </c>
      <c r="BL5" s="53"/>
      <c r="BM5" s="53">
        <v>0.42</v>
      </c>
      <c r="BN5" s="54">
        <v>-6.4500000000000002E-2</v>
      </c>
      <c r="BO5" s="54">
        <v>-5.79E-2</v>
      </c>
      <c r="BP5" s="54">
        <v>-0.19650000000000001</v>
      </c>
      <c r="BQ5" s="54">
        <v>0.22500000000000001</v>
      </c>
    </row>
    <row r="6" spans="1:69" ht="30" x14ac:dyDescent="0.25">
      <c r="A6" s="37" t="s">
        <v>253</v>
      </c>
      <c r="B6" s="38"/>
      <c r="C6" s="38"/>
      <c r="D6" s="53">
        <v>1.1399999999999999</v>
      </c>
      <c r="E6" s="53">
        <v>3.12</v>
      </c>
      <c r="F6" s="54"/>
      <c r="G6" s="54"/>
      <c r="H6" s="53"/>
      <c r="I6" s="53"/>
      <c r="J6" s="57">
        <v>0.66</v>
      </c>
      <c r="K6" s="57">
        <v>2.17</v>
      </c>
      <c r="L6" s="57">
        <v>1.19</v>
      </c>
      <c r="M6" s="57">
        <v>4.34</v>
      </c>
      <c r="N6" s="57">
        <v>0.88</v>
      </c>
      <c r="O6" s="57">
        <v>3.05</v>
      </c>
      <c r="P6" s="57"/>
      <c r="Q6" s="57"/>
      <c r="R6" s="57"/>
      <c r="S6" s="57"/>
      <c r="T6" s="38">
        <v>0.3</v>
      </c>
      <c r="U6" s="38">
        <v>0.77</v>
      </c>
      <c r="V6" s="54"/>
      <c r="W6" s="54"/>
      <c r="X6" s="54"/>
      <c r="Y6" s="54"/>
      <c r="Z6" s="38">
        <v>0.76</v>
      </c>
      <c r="AA6" s="38">
        <v>1.87</v>
      </c>
      <c r="AB6" s="57">
        <v>4.34</v>
      </c>
      <c r="AC6" s="57">
        <v>4.34</v>
      </c>
      <c r="AD6" s="99">
        <v>0.66</v>
      </c>
      <c r="AE6" s="57">
        <v>2.72</v>
      </c>
      <c r="AF6" s="38"/>
      <c r="AG6" s="38"/>
      <c r="AH6" s="38"/>
      <c r="AI6" s="38"/>
      <c r="AJ6" s="57">
        <v>0.66</v>
      </c>
      <c r="AK6" s="57">
        <v>2.33</v>
      </c>
      <c r="AL6" s="57">
        <v>1.23</v>
      </c>
      <c r="AM6" s="57">
        <v>3.44</v>
      </c>
      <c r="AN6" s="57"/>
      <c r="AO6" s="57"/>
      <c r="AP6" s="57"/>
      <c r="AQ6" s="57"/>
      <c r="AR6" s="57"/>
      <c r="AS6" s="57"/>
      <c r="AT6" s="57"/>
      <c r="AU6" s="38"/>
      <c r="AV6" s="57">
        <v>0.2</v>
      </c>
      <c r="AW6" s="56">
        <v>0.55000000000000004</v>
      </c>
      <c r="AX6" s="53"/>
      <c r="AY6" s="53"/>
      <c r="AZ6" s="53"/>
      <c r="BA6" s="53"/>
      <c r="BB6" s="38"/>
      <c r="BC6" s="38"/>
      <c r="BD6" s="57">
        <v>0.64</v>
      </c>
      <c r="BE6" s="57">
        <v>2.77</v>
      </c>
      <c r="BF6" s="57"/>
      <c r="BG6" s="57"/>
      <c r="BH6" s="57"/>
      <c r="BI6" s="57"/>
      <c r="BJ6" s="56">
        <v>1.44</v>
      </c>
      <c r="BK6" s="56">
        <v>3.65</v>
      </c>
      <c r="BL6" s="57"/>
      <c r="BM6" s="53"/>
      <c r="BN6" s="54">
        <v>23.498000000000001</v>
      </c>
      <c r="BO6" s="54">
        <v>5.5773999999999999</v>
      </c>
      <c r="BP6" s="54"/>
      <c r="BQ6" s="54"/>
    </row>
    <row r="7" spans="1:69" ht="30" x14ac:dyDescent="0.25">
      <c r="A7" s="37" t="s">
        <v>210</v>
      </c>
      <c r="B7" s="38"/>
      <c r="C7" s="38">
        <v>1.58</v>
      </c>
      <c r="D7" s="38"/>
      <c r="E7" s="38"/>
      <c r="F7" s="56">
        <v>0.26</v>
      </c>
      <c r="G7" s="56">
        <v>1.83</v>
      </c>
      <c r="H7" s="56">
        <v>2.1</v>
      </c>
      <c r="I7" s="56">
        <v>5.08</v>
      </c>
      <c r="J7" s="53"/>
      <c r="K7" s="53"/>
      <c r="L7" s="38"/>
      <c r="M7" s="38"/>
      <c r="N7" s="38"/>
      <c r="O7" s="38"/>
      <c r="P7" s="53">
        <v>0.79</v>
      </c>
      <c r="Q7" s="53">
        <v>2.96</v>
      </c>
      <c r="R7" s="38">
        <v>0.24</v>
      </c>
      <c r="S7" s="38">
        <v>1.76</v>
      </c>
      <c r="T7" s="38"/>
      <c r="U7" s="38"/>
      <c r="V7" s="56">
        <v>0.28000000000000003</v>
      </c>
      <c r="W7" s="56">
        <v>0.28000000000000003</v>
      </c>
      <c r="X7" s="57"/>
      <c r="Y7" s="57">
        <v>3.27</v>
      </c>
      <c r="Z7" s="38"/>
      <c r="AA7" s="38"/>
      <c r="AB7" s="38"/>
      <c r="AC7" s="38"/>
      <c r="AD7" s="98"/>
      <c r="AE7" s="38"/>
      <c r="AF7" s="38"/>
      <c r="AG7" s="54">
        <v>0.2019</v>
      </c>
      <c r="AH7" s="38">
        <v>0.87</v>
      </c>
      <c r="AI7" s="38">
        <v>2.79</v>
      </c>
      <c r="AJ7" s="38"/>
      <c r="AK7" s="38"/>
      <c r="AL7" s="56"/>
      <c r="AM7" s="56"/>
      <c r="AN7" s="38">
        <v>1.22</v>
      </c>
      <c r="AO7" s="38">
        <v>3.61</v>
      </c>
      <c r="AP7" s="56">
        <v>28.736678476668612</v>
      </c>
      <c r="AQ7" s="56">
        <v>96.965242697195251</v>
      </c>
      <c r="AR7" s="38">
        <v>0.46</v>
      </c>
      <c r="AS7" s="38">
        <v>1.69</v>
      </c>
      <c r="AT7" s="38">
        <v>10.89</v>
      </c>
      <c r="AU7" s="38">
        <v>4.71</v>
      </c>
      <c r="AV7" s="54"/>
      <c r="AW7" s="54"/>
      <c r="AX7" s="38">
        <v>0.82</v>
      </c>
      <c r="AY7" s="38">
        <v>3.86</v>
      </c>
      <c r="AZ7" s="38" t="s">
        <v>333</v>
      </c>
      <c r="BA7" s="38" t="s">
        <v>334</v>
      </c>
      <c r="BB7" s="38">
        <v>1.1299999999999999</v>
      </c>
      <c r="BC7" s="38">
        <v>4.1500000000000004</v>
      </c>
      <c r="BD7" s="38"/>
      <c r="BE7" s="38"/>
      <c r="BF7" s="56">
        <v>0.75</v>
      </c>
      <c r="BG7" s="38">
        <v>2.58</v>
      </c>
      <c r="BH7" s="54">
        <v>0.35659999999999997</v>
      </c>
      <c r="BI7" s="54">
        <v>1.2129000000000001</v>
      </c>
      <c r="BJ7" s="54"/>
      <c r="BK7" s="54"/>
      <c r="BL7" s="56"/>
      <c r="BM7" s="38">
        <v>3.87</v>
      </c>
      <c r="BN7" s="38"/>
      <c r="BO7" s="38"/>
      <c r="BP7" s="38">
        <v>0.92</v>
      </c>
      <c r="BQ7" s="38">
        <v>3.2</v>
      </c>
    </row>
    <row r="8" spans="1:69" x14ac:dyDescent="0.25">
      <c r="A8" s="37" t="s">
        <v>254</v>
      </c>
      <c r="B8" s="54">
        <v>-0.27710000000000001</v>
      </c>
      <c r="C8" s="54">
        <v>-0.27710000000000001</v>
      </c>
      <c r="D8" s="38"/>
      <c r="E8" s="38"/>
      <c r="F8" s="54">
        <v>0.1202</v>
      </c>
      <c r="G8" s="54">
        <v>0.1202</v>
      </c>
      <c r="H8" s="53">
        <v>0.02</v>
      </c>
      <c r="I8" s="53">
        <v>0.02</v>
      </c>
      <c r="J8" s="53"/>
      <c r="K8" s="53"/>
      <c r="L8" s="38"/>
      <c r="M8" s="38"/>
      <c r="N8" s="38"/>
      <c r="O8" s="38"/>
      <c r="P8" s="53"/>
      <c r="Q8" s="53"/>
      <c r="R8" s="53">
        <v>-0.17</v>
      </c>
      <c r="S8" s="53">
        <v>-0.17</v>
      </c>
      <c r="T8" s="38"/>
      <c r="U8" s="38"/>
      <c r="V8" s="54">
        <v>0.1943</v>
      </c>
      <c r="W8" s="54">
        <v>0.1943</v>
      </c>
      <c r="X8" s="53"/>
      <c r="Y8" s="53">
        <v>0.18</v>
      </c>
      <c r="Z8" s="38"/>
      <c r="AA8" s="38"/>
      <c r="AB8" s="38"/>
      <c r="AC8" s="38"/>
      <c r="AD8" s="98"/>
      <c r="AE8" s="38"/>
      <c r="AF8" s="38"/>
      <c r="AG8" s="56">
        <v>3.11</v>
      </c>
      <c r="AH8" s="53">
        <v>0.1</v>
      </c>
      <c r="AI8" s="53">
        <v>0.1</v>
      </c>
      <c r="AJ8" s="38">
        <v>0.3</v>
      </c>
      <c r="AK8" s="38">
        <v>0.3</v>
      </c>
      <c r="AL8" s="56"/>
      <c r="AM8" s="56"/>
      <c r="AN8" s="53">
        <v>0.03</v>
      </c>
      <c r="AO8" s="53">
        <v>0.03</v>
      </c>
      <c r="AP8" s="84">
        <v>-0.91108251140902052</v>
      </c>
      <c r="AQ8" s="84">
        <v>-0.91108251140902052</v>
      </c>
      <c r="AR8" s="38"/>
      <c r="AS8" s="38"/>
      <c r="AT8" s="38">
        <v>-56.88</v>
      </c>
      <c r="AU8" s="38">
        <v>-9.3000000000000007</v>
      </c>
      <c r="AV8" s="54"/>
      <c r="AW8" s="54"/>
      <c r="AX8" s="53">
        <v>0.14000000000000001</v>
      </c>
      <c r="AY8" s="53">
        <v>0.14000000000000001</v>
      </c>
      <c r="AZ8" s="53">
        <v>3.18</v>
      </c>
      <c r="BA8" s="53">
        <v>3.18</v>
      </c>
      <c r="BB8" s="38">
        <v>0.59</v>
      </c>
      <c r="BC8" s="38">
        <v>0.59</v>
      </c>
      <c r="BD8" s="38"/>
      <c r="BE8" s="38"/>
      <c r="BF8" s="54">
        <v>0.2205</v>
      </c>
      <c r="BG8" s="54">
        <v>0.2205</v>
      </c>
      <c r="BH8" s="54">
        <v>0.37109999999999999</v>
      </c>
      <c r="BI8" s="54">
        <v>0.37109999999999999</v>
      </c>
      <c r="BJ8" s="54"/>
      <c r="BK8" s="54"/>
      <c r="BL8" s="53"/>
      <c r="BM8" s="53">
        <v>0.3</v>
      </c>
      <c r="BN8" s="38"/>
      <c r="BO8" s="38"/>
      <c r="BP8" s="54">
        <v>0.1807</v>
      </c>
      <c r="BQ8" s="54">
        <v>0.1807</v>
      </c>
    </row>
    <row r="9" spans="1:69" ht="30" x14ac:dyDescent="0.25">
      <c r="A9" s="37" t="s">
        <v>255</v>
      </c>
      <c r="B9" s="38"/>
      <c r="C9" s="38"/>
      <c r="D9" s="53">
        <v>0.18</v>
      </c>
      <c r="E9" s="53">
        <v>0.78</v>
      </c>
      <c r="F9" s="54"/>
      <c r="G9" s="54"/>
      <c r="H9" s="38"/>
      <c r="I9" s="38"/>
      <c r="J9" s="53">
        <v>0.16</v>
      </c>
      <c r="K9" s="53">
        <v>0.15</v>
      </c>
      <c r="L9" s="54">
        <v>0.01</v>
      </c>
      <c r="M9" s="54">
        <v>0.01</v>
      </c>
      <c r="N9" s="54">
        <v>1.8700000000000001E-2</v>
      </c>
      <c r="O9" s="54">
        <v>0.12139999999999999</v>
      </c>
      <c r="P9" s="53">
        <v>0.66</v>
      </c>
      <c r="Q9" s="53">
        <v>0.66</v>
      </c>
      <c r="R9" s="53"/>
      <c r="S9" s="53"/>
      <c r="T9" s="53">
        <v>-0.14000000000000001</v>
      </c>
      <c r="U9" s="53">
        <v>-0.14000000000000001</v>
      </c>
      <c r="V9" s="54"/>
      <c r="W9" s="38"/>
      <c r="X9" s="53"/>
      <c r="Y9" s="53"/>
      <c r="Z9" s="54">
        <v>0.75180000000000002</v>
      </c>
      <c r="AA9" s="54">
        <v>0.75180000000000002</v>
      </c>
      <c r="AB9" s="54">
        <v>0.12559999999999999</v>
      </c>
      <c r="AC9" s="54">
        <v>0.12559999999999999</v>
      </c>
      <c r="AD9" s="53">
        <v>0.17</v>
      </c>
      <c r="AE9" s="53">
        <v>0.17</v>
      </c>
      <c r="AF9" s="38"/>
      <c r="AG9" s="38"/>
      <c r="AH9" s="53"/>
      <c r="AI9" s="53"/>
      <c r="AJ9" s="38"/>
      <c r="AK9" s="38"/>
      <c r="AL9" s="55">
        <v>0.223</v>
      </c>
      <c r="AM9" s="55">
        <v>0.223</v>
      </c>
      <c r="AN9" s="53"/>
      <c r="AO9" s="53"/>
      <c r="AP9" s="38"/>
      <c r="AQ9" s="38"/>
      <c r="AR9" s="38">
        <v>2.27</v>
      </c>
      <c r="AS9" s="38">
        <v>2.27</v>
      </c>
      <c r="AT9" s="38"/>
      <c r="AU9" s="38"/>
      <c r="AV9" s="54">
        <v>-8.7300000000000003E-2</v>
      </c>
      <c r="AW9" s="54">
        <v>-8.7300000000000003E-2</v>
      </c>
      <c r="AX9" s="38"/>
      <c r="AY9" s="38"/>
      <c r="AZ9" s="38"/>
      <c r="BA9" s="38"/>
      <c r="BB9" s="38"/>
      <c r="BC9" s="38"/>
      <c r="BD9" s="54">
        <v>0.11600000000000001</v>
      </c>
      <c r="BE9" s="54">
        <v>0.11600000000000001</v>
      </c>
      <c r="BF9" s="54"/>
      <c r="BG9" s="54"/>
      <c r="BH9" s="54"/>
      <c r="BI9" s="54"/>
      <c r="BJ9" s="54"/>
      <c r="BK9" s="54">
        <v>0.54290000000000005</v>
      </c>
      <c r="BL9" s="53"/>
      <c r="BM9" s="53"/>
      <c r="BN9" s="54">
        <v>0.70150000000000001</v>
      </c>
      <c r="BO9" s="54">
        <v>-0.38919999999999999</v>
      </c>
      <c r="BP9" s="38"/>
      <c r="BQ9" s="38"/>
    </row>
    <row r="10" spans="1:69" x14ac:dyDescent="0.25">
      <c r="A10" s="37" t="s">
        <v>191</v>
      </c>
      <c r="B10" s="54">
        <v>0.66749999999999998</v>
      </c>
      <c r="C10" s="54">
        <v>0.69240000000000002</v>
      </c>
      <c r="D10" s="53">
        <v>0.94</v>
      </c>
      <c r="E10" s="53">
        <v>0.94</v>
      </c>
      <c r="F10" s="54">
        <v>0.22539999999999999</v>
      </c>
      <c r="G10" s="54">
        <v>0.22570000000000001</v>
      </c>
      <c r="H10" s="53">
        <v>0.94</v>
      </c>
      <c r="I10" s="53">
        <v>0.85</v>
      </c>
      <c r="J10" s="53">
        <v>0.64</v>
      </c>
      <c r="K10" s="53">
        <v>0.7</v>
      </c>
      <c r="L10" s="53">
        <v>0.67</v>
      </c>
      <c r="M10" s="53">
        <v>0.66</v>
      </c>
      <c r="N10" s="54">
        <v>0.80400000000000005</v>
      </c>
      <c r="O10" s="54">
        <v>0.75519999999999998</v>
      </c>
      <c r="P10" s="53">
        <v>0.95</v>
      </c>
      <c r="Q10" s="53">
        <v>0.95</v>
      </c>
      <c r="R10" s="53">
        <v>-0.36</v>
      </c>
      <c r="S10" s="53">
        <v>0.53</v>
      </c>
      <c r="T10" s="53">
        <v>0.77</v>
      </c>
      <c r="U10" s="53">
        <v>0.71</v>
      </c>
      <c r="V10" s="54">
        <v>0.73319999999999996</v>
      </c>
      <c r="W10" s="54">
        <v>0.69740000000000002</v>
      </c>
      <c r="X10" s="53"/>
      <c r="Y10" s="53">
        <v>0.66</v>
      </c>
      <c r="Z10" s="54">
        <v>0.77170000000000005</v>
      </c>
      <c r="AA10" s="54">
        <v>0.79290000000000005</v>
      </c>
      <c r="AB10" s="54">
        <v>0.5554</v>
      </c>
      <c r="AC10" s="54">
        <v>0.50139999999999996</v>
      </c>
      <c r="AD10" s="53">
        <v>0.7</v>
      </c>
      <c r="AE10" s="53">
        <v>0.64</v>
      </c>
      <c r="AF10" s="54">
        <v>0.62919999999999998</v>
      </c>
      <c r="AG10" s="54">
        <v>0.59230000000000005</v>
      </c>
      <c r="AH10" s="53">
        <v>0.86</v>
      </c>
      <c r="AI10" s="53">
        <v>0.88</v>
      </c>
      <c r="AJ10" s="53">
        <v>0.91</v>
      </c>
      <c r="AK10" s="53">
        <v>0.87</v>
      </c>
      <c r="AL10" s="55">
        <v>0.625</v>
      </c>
      <c r="AM10" s="55">
        <v>0.504</v>
      </c>
      <c r="AN10" s="53">
        <v>0.8</v>
      </c>
      <c r="AO10" s="53">
        <v>0.77</v>
      </c>
      <c r="AP10" s="84">
        <v>0.57960685997355044</v>
      </c>
      <c r="AQ10" s="84">
        <v>0.62542133924874066</v>
      </c>
      <c r="AR10" s="38">
        <v>77.55</v>
      </c>
      <c r="AS10" s="38">
        <v>78.95</v>
      </c>
      <c r="AT10" s="38">
        <v>80.86</v>
      </c>
      <c r="AU10" s="38">
        <v>78.52</v>
      </c>
      <c r="AV10" s="54">
        <v>0.82150000000000001</v>
      </c>
      <c r="AW10" s="54">
        <v>0.81079999999999997</v>
      </c>
      <c r="AX10" s="53">
        <v>0.59</v>
      </c>
      <c r="AY10" s="53">
        <v>0.59</v>
      </c>
      <c r="AZ10" s="53">
        <v>0.65</v>
      </c>
      <c r="BA10" s="53">
        <v>0.69</v>
      </c>
      <c r="BB10" s="56">
        <v>0.69</v>
      </c>
      <c r="BC10" s="38">
        <v>0.69</v>
      </c>
      <c r="BD10" s="54">
        <v>0.76200000000000001</v>
      </c>
      <c r="BE10" s="54">
        <v>0.69</v>
      </c>
      <c r="BF10" s="54">
        <v>0.55310000000000004</v>
      </c>
      <c r="BG10" s="54">
        <v>0.5423</v>
      </c>
      <c r="BH10" s="54">
        <v>0.92810000000000004</v>
      </c>
      <c r="BI10" s="54">
        <v>0.92330000000000001</v>
      </c>
      <c r="BJ10" s="54">
        <v>0.76539999999999997</v>
      </c>
      <c r="BK10" s="54">
        <v>0.76439999999999997</v>
      </c>
      <c r="BL10" s="53"/>
      <c r="BM10" s="53">
        <v>0.64</v>
      </c>
      <c r="BN10" s="54">
        <v>0.84279999999999999</v>
      </c>
      <c r="BO10" s="138">
        <v>0.83150000000000002</v>
      </c>
      <c r="BP10" s="54">
        <v>0.48849999999999999</v>
      </c>
      <c r="BQ10" s="54">
        <v>0.47570000000000001</v>
      </c>
    </row>
    <row r="11" spans="1:69" x14ac:dyDescent="0.25">
      <c r="A11" s="37" t="s">
        <v>192</v>
      </c>
      <c r="B11" s="54">
        <v>2E-3</v>
      </c>
      <c r="C11" s="54">
        <v>-2.5100000000000001E-2</v>
      </c>
      <c r="D11" s="53">
        <v>0.1</v>
      </c>
      <c r="E11" s="53">
        <v>0.1</v>
      </c>
      <c r="F11" s="54">
        <v>-0.41</v>
      </c>
      <c r="G11" s="54">
        <v>-0.16900000000000001</v>
      </c>
      <c r="H11" s="53">
        <v>0.11</v>
      </c>
      <c r="I11" s="53">
        <v>7.0000000000000007E-2</v>
      </c>
      <c r="J11" s="53">
        <v>0.01</v>
      </c>
      <c r="K11" s="53">
        <v>0.05</v>
      </c>
      <c r="L11" s="53">
        <v>0</v>
      </c>
      <c r="M11" s="53">
        <v>0.04</v>
      </c>
      <c r="N11" s="54">
        <v>1.83E-2</v>
      </c>
      <c r="O11" s="54">
        <v>3.8E-3</v>
      </c>
      <c r="P11" s="53">
        <v>0.1</v>
      </c>
      <c r="Q11" s="53">
        <v>0.11</v>
      </c>
      <c r="R11" s="53">
        <v>2.36</v>
      </c>
      <c r="S11" s="53">
        <v>-0.31</v>
      </c>
      <c r="T11" s="53">
        <v>-0.08</v>
      </c>
      <c r="U11" s="53">
        <v>-0.14000000000000001</v>
      </c>
      <c r="V11" s="54">
        <v>-5.9200000000000003E-2</v>
      </c>
      <c r="W11" s="54">
        <v>-5.9299999999999999E-2</v>
      </c>
      <c r="X11" s="53"/>
      <c r="Y11" s="53">
        <v>0.04</v>
      </c>
      <c r="Z11" s="54">
        <v>1.7999999999999999E-2</v>
      </c>
      <c r="AA11" s="54">
        <v>1.8200000000000001E-2</v>
      </c>
      <c r="AB11" s="54">
        <v>-7.4999999999999997E-3</v>
      </c>
      <c r="AC11" s="54">
        <v>-3.49E-2</v>
      </c>
      <c r="AD11" s="53">
        <v>0.03</v>
      </c>
      <c r="AE11" s="53">
        <v>0.02</v>
      </c>
      <c r="AF11" s="54">
        <v>4.9599999999999998E-2</v>
      </c>
      <c r="AG11" s="54">
        <v>5.0999999999999997E-2</v>
      </c>
      <c r="AH11" s="53">
        <v>7.0000000000000007E-2</v>
      </c>
      <c r="AI11" s="53">
        <v>7.0000000000000007E-2</v>
      </c>
      <c r="AJ11" s="53">
        <v>0.12</v>
      </c>
      <c r="AK11" s="53">
        <v>0.11</v>
      </c>
      <c r="AL11" s="54">
        <v>-6.5000000000000002E-2</v>
      </c>
      <c r="AM11" s="54">
        <v>-5.6000000000000001E-2</v>
      </c>
      <c r="AN11" s="53">
        <v>0.08</v>
      </c>
      <c r="AO11" s="53">
        <v>0.04</v>
      </c>
      <c r="AP11" s="84">
        <v>0.13973633158746879</v>
      </c>
      <c r="AQ11" s="84">
        <v>8.468173182938464E-2</v>
      </c>
      <c r="AR11" s="38">
        <v>11.54</v>
      </c>
      <c r="AS11" s="38">
        <v>9.94</v>
      </c>
      <c r="AT11" s="38">
        <v>6.95</v>
      </c>
      <c r="AU11" s="38">
        <v>6.07</v>
      </c>
      <c r="AV11" s="54">
        <v>5.1299999999999998E-2</v>
      </c>
      <c r="AW11" s="54">
        <v>7.0999999999999994E-2</v>
      </c>
      <c r="AX11" s="53">
        <v>-0.01</v>
      </c>
      <c r="AY11" s="53">
        <v>0</v>
      </c>
      <c r="AZ11" s="53">
        <v>-0.16</v>
      </c>
      <c r="BA11" s="53">
        <v>-0.12</v>
      </c>
      <c r="BB11" s="38">
        <v>-0.03</v>
      </c>
      <c r="BC11" s="38">
        <v>-0.02</v>
      </c>
      <c r="BD11" s="54">
        <v>5.7000000000000002E-2</v>
      </c>
      <c r="BE11" s="54">
        <v>3.7999999999999999E-2</v>
      </c>
      <c r="BF11" s="54">
        <v>7.5999999999999998E-2</v>
      </c>
      <c r="BG11" s="54">
        <v>-3.3999999999999998E-3</v>
      </c>
      <c r="BH11" s="54">
        <v>3.9199999999999999E-2</v>
      </c>
      <c r="BI11" s="54">
        <v>3.7199999999999997E-2</v>
      </c>
      <c r="BJ11" s="54">
        <v>6.7999999999999996E-3</v>
      </c>
      <c r="BK11" s="54">
        <v>6.2199999999999998E-2</v>
      </c>
      <c r="BL11" s="53"/>
      <c r="BM11" s="53">
        <v>0.01</v>
      </c>
      <c r="BN11" s="138">
        <v>5.5500000000000001E-2</v>
      </c>
      <c r="BO11" s="138">
        <v>5.3100000000000001E-2</v>
      </c>
      <c r="BP11" s="54">
        <v>5.6500000000000002E-2</v>
      </c>
      <c r="BQ11" s="54">
        <v>4.9299999999999997E-2</v>
      </c>
    </row>
    <row r="12" spans="1:69" ht="30" x14ac:dyDescent="0.25">
      <c r="A12" s="37" t="s">
        <v>193</v>
      </c>
      <c r="B12" s="54">
        <v>1.4000999999999999</v>
      </c>
      <c r="C12" s="54">
        <v>1.1617999999999999</v>
      </c>
      <c r="D12" s="53">
        <v>0.66</v>
      </c>
      <c r="E12" s="53">
        <v>0.85</v>
      </c>
      <c r="F12" s="54">
        <v>7.1900000000000006E-2</v>
      </c>
      <c r="G12" s="54">
        <v>3.1899999999999998E-2</v>
      </c>
      <c r="H12" s="53">
        <v>0.34</v>
      </c>
      <c r="I12" s="53">
        <v>0.37</v>
      </c>
      <c r="J12" s="53">
        <v>0.24</v>
      </c>
      <c r="K12" s="53">
        <v>0.24</v>
      </c>
      <c r="L12" s="53">
        <v>0.34</v>
      </c>
      <c r="M12" s="53">
        <v>0.25</v>
      </c>
      <c r="N12" s="54">
        <v>0.26440000000000002</v>
      </c>
      <c r="O12" s="54">
        <v>0.27100000000000002</v>
      </c>
      <c r="P12" s="53">
        <v>0.66</v>
      </c>
      <c r="Q12" s="53">
        <v>0.72</v>
      </c>
      <c r="R12" s="53">
        <v>0.93</v>
      </c>
      <c r="S12" s="53">
        <v>0.67</v>
      </c>
      <c r="T12" s="53">
        <v>0.53</v>
      </c>
      <c r="U12" s="53">
        <v>0.7</v>
      </c>
      <c r="V12" s="54">
        <v>0.37059999999999998</v>
      </c>
      <c r="W12" s="54">
        <v>0.2407</v>
      </c>
      <c r="X12" s="53"/>
      <c r="Y12" s="53">
        <v>0.28999999999999998</v>
      </c>
      <c r="Z12" s="54">
        <v>0.49809999999999999</v>
      </c>
      <c r="AA12" s="54">
        <v>0.49459999999999998</v>
      </c>
      <c r="AB12" s="54">
        <v>0.2389</v>
      </c>
      <c r="AC12" s="54">
        <v>0.20749999999999999</v>
      </c>
      <c r="AD12" s="53">
        <v>0.25</v>
      </c>
      <c r="AE12" s="53">
        <v>0.21</v>
      </c>
      <c r="AF12" s="54">
        <v>0.17230000000000001</v>
      </c>
      <c r="AG12" s="54">
        <v>0.14940000000000001</v>
      </c>
      <c r="AH12" s="53">
        <v>0.43</v>
      </c>
      <c r="AI12" s="53">
        <v>0.44</v>
      </c>
      <c r="AJ12" s="53">
        <v>0.45</v>
      </c>
      <c r="AK12" s="53">
        <v>0.36</v>
      </c>
      <c r="AL12" s="55">
        <v>0.27500000000000002</v>
      </c>
      <c r="AM12" s="55">
        <v>0.314</v>
      </c>
      <c r="AN12" s="53">
        <v>0.49</v>
      </c>
      <c r="AO12" s="53">
        <v>0.5</v>
      </c>
      <c r="AP12" s="84">
        <v>0.21613622745586678</v>
      </c>
      <c r="AQ12" s="84">
        <v>0.24021551837822536</v>
      </c>
      <c r="AR12" s="38">
        <v>29.98</v>
      </c>
      <c r="AS12" s="38">
        <v>23.82</v>
      </c>
      <c r="AT12" s="38">
        <v>28.86</v>
      </c>
      <c r="AU12" s="38">
        <v>24.48</v>
      </c>
      <c r="AV12" s="54">
        <v>0.37790000000000001</v>
      </c>
      <c r="AW12" s="54">
        <v>0.37869999999999998</v>
      </c>
      <c r="AX12" s="53">
        <v>0.26</v>
      </c>
      <c r="AY12" s="53">
        <v>0.21</v>
      </c>
      <c r="AZ12" s="53">
        <v>9.18</v>
      </c>
      <c r="BA12" s="53">
        <v>14.02</v>
      </c>
      <c r="BB12" s="38">
        <v>0.45</v>
      </c>
      <c r="BC12" s="38">
        <v>0.41</v>
      </c>
      <c r="BD12" s="54">
        <v>0.218</v>
      </c>
      <c r="BE12" s="54">
        <v>0.215</v>
      </c>
      <c r="BF12" s="54">
        <v>0.2165</v>
      </c>
      <c r="BG12" s="54">
        <v>0.20749999999999999</v>
      </c>
      <c r="BH12" s="54">
        <v>0.1585</v>
      </c>
      <c r="BI12" s="54">
        <v>0.161</v>
      </c>
      <c r="BJ12" s="54">
        <v>0.2843</v>
      </c>
      <c r="BK12" s="54">
        <v>0.31990000000000002</v>
      </c>
      <c r="BL12" s="53"/>
      <c r="BM12" s="53">
        <v>0.27</v>
      </c>
      <c r="BN12" s="138">
        <v>0.26340000000000002</v>
      </c>
      <c r="BO12" s="138">
        <v>0.23899999999999999</v>
      </c>
      <c r="BP12" s="54">
        <v>0.14080000000000001</v>
      </c>
      <c r="BQ12" s="54">
        <v>0.13109999999999999</v>
      </c>
    </row>
    <row r="13" spans="1:69" ht="30" x14ac:dyDescent="0.25">
      <c r="A13" s="37" t="s">
        <v>194</v>
      </c>
      <c r="B13" s="54">
        <v>1.7488999999999999</v>
      </c>
      <c r="C13" s="54">
        <v>1.6778</v>
      </c>
      <c r="D13" s="38"/>
      <c r="E13" s="38"/>
      <c r="F13" s="54">
        <v>0.31879999999999997</v>
      </c>
      <c r="G13" s="54">
        <v>0.14119999999999999</v>
      </c>
      <c r="H13" s="53">
        <v>0.36</v>
      </c>
      <c r="I13" s="53">
        <v>0.43</v>
      </c>
      <c r="J13" s="53">
        <v>0.38</v>
      </c>
      <c r="K13" s="53">
        <v>0.34</v>
      </c>
      <c r="L13" s="53">
        <v>0.5</v>
      </c>
      <c r="M13" s="53">
        <v>0.37</v>
      </c>
      <c r="N13" s="38"/>
      <c r="O13" s="38"/>
      <c r="P13" s="38"/>
      <c r="Q13" s="38"/>
      <c r="R13" s="53">
        <v>-2.57</v>
      </c>
      <c r="S13" s="53">
        <v>1.26</v>
      </c>
      <c r="T13" s="53">
        <v>0.63</v>
      </c>
      <c r="U13" s="53">
        <v>0.88</v>
      </c>
      <c r="V13" s="54">
        <v>0.50539999999999996</v>
      </c>
      <c r="W13" s="54">
        <v>0.34520000000000001</v>
      </c>
      <c r="X13" s="53"/>
      <c r="Y13" s="53">
        <v>0.42</v>
      </c>
      <c r="Z13" s="54">
        <v>0.41220000000000001</v>
      </c>
      <c r="AA13" s="54">
        <v>0.4632</v>
      </c>
      <c r="AB13" s="54">
        <v>0.42470000000000002</v>
      </c>
      <c r="AC13" s="54">
        <v>0.40870000000000001</v>
      </c>
      <c r="AD13" s="53">
        <v>0.36</v>
      </c>
      <c r="AE13" s="53">
        <v>0.32</v>
      </c>
      <c r="AF13" s="54">
        <v>0.2732</v>
      </c>
      <c r="AG13" s="54">
        <v>0.24970000000000001</v>
      </c>
      <c r="AH13" s="53">
        <v>0.49</v>
      </c>
      <c r="AI13" s="53">
        <v>0.49</v>
      </c>
      <c r="AJ13" s="53">
        <v>0.49</v>
      </c>
      <c r="AK13" s="53">
        <v>0.41</v>
      </c>
      <c r="AL13" s="55">
        <v>0.42399999999999999</v>
      </c>
      <c r="AM13" s="55">
        <v>0.58899999999999997</v>
      </c>
      <c r="AN13" s="53">
        <v>0.61</v>
      </c>
      <c r="AO13" s="53">
        <v>0.64</v>
      </c>
      <c r="AP13" s="84">
        <v>0.36175261659236313</v>
      </c>
      <c r="AQ13" s="84">
        <v>0.37784716709134686</v>
      </c>
      <c r="AR13" s="38">
        <v>36.270000000000003</v>
      </c>
      <c r="AS13" s="38">
        <v>28.65</v>
      </c>
      <c r="AT13" s="38">
        <v>34.94</v>
      </c>
      <c r="AU13" s="38">
        <v>30.44</v>
      </c>
      <c r="AV13" s="38"/>
      <c r="AW13" s="38"/>
      <c r="AX13" s="53">
        <v>0.44</v>
      </c>
      <c r="AY13" s="53">
        <v>0.36</v>
      </c>
      <c r="AZ13" s="53">
        <v>13.84</v>
      </c>
      <c r="BA13" s="53">
        <v>20.079999999999998</v>
      </c>
      <c r="BB13" s="38">
        <v>0.66</v>
      </c>
      <c r="BC13" s="38">
        <v>0.57999999999999996</v>
      </c>
      <c r="BD13" s="54">
        <v>0.28499999999999998</v>
      </c>
      <c r="BE13" s="54">
        <v>0.309</v>
      </c>
      <c r="BF13" s="54">
        <v>0.39079999999999998</v>
      </c>
      <c r="BG13" s="54">
        <v>0.38169999999999998</v>
      </c>
      <c r="BH13" s="54">
        <v>0.1706</v>
      </c>
      <c r="BI13" s="54">
        <v>0.17399999999999999</v>
      </c>
      <c r="BJ13" s="38"/>
      <c r="BK13" s="38"/>
      <c r="BL13" s="53"/>
      <c r="BM13" s="53">
        <v>0.42</v>
      </c>
      <c r="BN13" s="38"/>
      <c r="BO13" s="38"/>
      <c r="BP13" s="54">
        <v>0.28799999999999998</v>
      </c>
      <c r="BQ13" s="54">
        <v>0.27539999999999998</v>
      </c>
    </row>
    <row r="14" spans="1:69" ht="30" x14ac:dyDescent="0.25">
      <c r="A14" s="37" t="s">
        <v>195</v>
      </c>
      <c r="B14" s="54">
        <v>0.71519999999999995</v>
      </c>
      <c r="C14" s="54">
        <v>0.58609999999999995</v>
      </c>
      <c r="D14" s="38"/>
      <c r="E14" s="38"/>
      <c r="F14" s="54">
        <v>0.69910000000000005</v>
      </c>
      <c r="G14" s="54">
        <v>0.92249999999999999</v>
      </c>
      <c r="H14" s="53">
        <v>0.43</v>
      </c>
      <c r="I14" s="53">
        <v>0.63</v>
      </c>
      <c r="J14" s="53">
        <v>0.76</v>
      </c>
      <c r="K14" s="53">
        <v>0.69</v>
      </c>
      <c r="L14" s="53">
        <v>0.74</v>
      </c>
      <c r="M14" s="53">
        <v>0.77</v>
      </c>
      <c r="N14" s="38"/>
      <c r="O14" s="38"/>
      <c r="P14" s="38"/>
      <c r="Q14" s="38"/>
      <c r="R14" s="53">
        <v>0.99</v>
      </c>
      <c r="S14" s="53">
        <v>0.56000000000000005</v>
      </c>
      <c r="T14" s="53">
        <v>1.33</v>
      </c>
      <c r="U14" s="53">
        <v>1.48</v>
      </c>
      <c r="V14" s="54">
        <v>0.85160000000000002</v>
      </c>
      <c r="W14" s="54">
        <v>1.3355999999999999</v>
      </c>
      <c r="X14" s="53"/>
      <c r="Y14" s="53">
        <v>0.69</v>
      </c>
      <c r="Z14" s="54">
        <v>0.84499999999999997</v>
      </c>
      <c r="AA14" s="54">
        <v>0.7883</v>
      </c>
      <c r="AB14" s="54">
        <v>0.73099999999999998</v>
      </c>
      <c r="AC14" s="54">
        <v>0.76359999999999995</v>
      </c>
      <c r="AD14" s="53">
        <v>0.72</v>
      </c>
      <c r="AE14" s="53">
        <v>0.75</v>
      </c>
      <c r="AF14" s="54">
        <v>0.86990000000000001</v>
      </c>
      <c r="AG14" s="54">
        <v>0.88290000000000002</v>
      </c>
      <c r="AH14" s="53">
        <v>0.64</v>
      </c>
      <c r="AI14" s="53">
        <v>0.68</v>
      </c>
      <c r="AJ14" s="53">
        <v>0.82</v>
      </c>
      <c r="AK14" s="53">
        <v>0.73</v>
      </c>
      <c r="AL14" s="55">
        <v>0.88</v>
      </c>
      <c r="AM14" s="55">
        <v>0.70599999999999996</v>
      </c>
      <c r="AN14" s="53">
        <v>0.4</v>
      </c>
      <c r="AO14" s="53">
        <v>0.54</v>
      </c>
      <c r="AP14" s="84">
        <v>1.086854537768253</v>
      </c>
      <c r="AQ14" s="84">
        <v>1.0994017108356129</v>
      </c>
      <c r="AR14" s="38">
        <v>93.46</v>
      </c>
      <c r="AS14" s="38">
        <v>95.39</v>
      </c>
      <c r="AT14" s="38">
        <v>90.39</v>
      </c>
      <c r="AU14" s="38">
        <v>106.1</v>
      </c>
      <c r="AV14" s="38"/>
      <c r="AW14" s="38"/>
      <c r="AX14" s="53">
        <v>0.85</v>
      </c>
      <c r="AY14" s="53">
        <v>0.86</v>
      </c>
      <c r="AZ14" s="53">
        <v>0.16</v>
      </c>
      <c r="BA14" s="53">
        <v>0.14000000000000001</v>
      </c>
      <c r="BB14" s="38">
        <v>0.5</v>
      </c>
      <c r="BC14" s="38">
        <v>0.55000000000000004</v>
      </c>
      <c r="BD14" s="54">
        <v>0.85599999999999998</v>
      </c>
      <c r="BE14" s="54">
        <v>0.84799999999999998</v>
      </c>
      <c r="BF14" s="54">
        <v>0.61619999999999997</v>
      </c>
      <c r="BG14" s="54">
        <v>0.72040000000000004</v>
      </c>
      <c r="BH14" s="54">
        <v>0.16569999999999999</v>
      </c>
      <c r="BI14" s="54">
        <v>0.68289999999999995</v>
      </c>
      <c r="BJ14" s="38"/>
      <c r="BK14" s="38"/>
      <c r="BL14" s="53"/>
      <c r="BM14" s="53">
        <v>0.78</v>
      </c>
      <c r="BN14" s="38"/>
      <c r="BO14" s="38"/>
      <c r="BP14" s="54">
        <v>0.29160000000000003</v>
      </c>
      <c r="BQ14" s="54">
        <v>0.70430000000000004</v>
      </c>
    </row>
    <row r="15" spans="1:69" x14ac:dyDescent="0.25">
      <c r="A15" s="37" t="s">
        <v>196</v>
      </c>
      <c r="B15" s="54">
        <v>2.4472</v>
      </c>
      <c r="C15" s="54">
        <v>2.2250000000000001</v>
      </c>
      <c r="D15" s="53">
        <v>1.28</v>
      </c>
      <c r="E15" s="53">
        <v>1.49</v>
      </c>
      <c r="F15" s="54">
        <v>-0.60699999999999998</v>
      </c>
      <c r="G15" s="54">
        <v>0.89039999999999997</v>
      </c>
      <c r="H15" s="53">
        <v>0.78</v>
      </c>
      <c r="I15" s="53">
        <v>1</v>
      </c>
      <c r="J15" s="53">
        <v>1.04</v>
      </c>
      <c r="K15" s="53">
        <v>0.97</v>
      </c>
      <c r="L15" s="53">
        <v>1.1200000000000001</v>
      </c>
      <c r="M15" s="53">
        <v>1.06</v>
      </c>
      <c r="N15" s="54">
        <v>1.0399</v>
      </c>
      <c r="O15" s="54">
        <v>1.046</v>
      </c>
      <c r="P15" s="53">
        <v>1.25</v>
      </c>
      <c r="Q15" s="53">
        <v>1.37</v>
      </c>
      <c r="R15" s="53">
        <v>1.01</v>
      </c>
      <c r="S15" s="53">
        <v>1.25</v>
      </c>
      <c r="T15" s="53">
        <v>1.84</v>
      </c>
      <c r="U15" s="53">
        <v>2.1800000000000002</v>
      </c>
      <c r="V15" s="54">
        <v>1.2842</v>
      </c>
      <c r="W15" s="54">
        <v>1.6133999999999999</v>
      </c>
      <c r="X15" s="53"/>
      <c r="Y15" s="53">
        <v>1.07</v>
      </c>
      <c r="Z15" s="54">
        <v>1.2488999999999999</v>
      </c>
      <c r="AA15" s="54">
        <v>1.2390000000000001</v>
      </c>
      <c r="AB15" s="54">
        <v>0.99650000000000005</v>
      </c>
      <c r="AC15" s="54">
        <v>0.98740000000000006</v>
      </c>
      <c r="AD15" s="53">
        <v>0.98</v>
      </c>
      <c r="AE15" s="53">
        <v>0.99</v>
      </c>
      <c r="AF15" s="54">
        <v>1.0722</v>
      </c>
      <c r="AG15" s="54">
        <v>1.0669</v>
      </c>
      <c r="AH15" s="53">
        <v>1.1000000000000001</v>
      </c>
      <c r="AI15" s="53">
        <v>1.1499999999999999</v>
      </c>
      <c r="AJ15" s="53">
        <v>1</v>
      </c>
      <c r="AK15" s="53">
        <v>1.1299999999999999</v>
      </c>
      <c r="AL15" s="55">
        <v>1.143</v>
      </c>
      <c r="AM15" s="55">
        <v>1.121</v>
      </c>
      <c r="AN15" s="53">
        <v>0.93</v>
      </c>
      <c r="AO15" s="53">
        <v>1.07</v>
      </c>
      <c r="AP15" s="84">
        <v>1.4700998803503111</v>
      </c>
      <c r="AQ15" s="84">
        <v>1.4540547393135526</v>
      </c>
      <c r="AR15" s="38">
        <v>130.31</v>
      </c>
      <c r="AS15" s="38">
        <v>123.58</v>
      </c>
      <c r="AT15" s="38">
        <v>124.23</v>
      </c>
      <c r="AU15" s="38">
        <v>134.91</v>
      </c>
      <c r="AV15" s="54">
        <v>0.8155</v>
      </c>
      <c r="AW15" s="54">
        <v>1.1321000000000001</v>
      </c>
      <c r="AX15" s="53">
        <v>1.19</v>
      </c>
      <c r="AY15" s="53">
        <v>1.1200000000000001</v>
      </c>
      <c r="AZ15" s="53">
        <v>14</v>
      </c>
      <c r="BA15" s="53">
        <v>20.21</v>
      </c>
      <c r="BB15" s="56">
        <v>0.93</v>
      </c>
      <c r="BC15" s="38">
        <v>0.95</v>
      </c>
      <c r="BD15" s="54">
        <v>1.083</v>
      </c>
      <c r="BE15" s="54">
        <v>1.081</v>
      </c>
      <c r="BF15" s="54">
        <v>0.92169999999999996</v>
      </c>
      <c r="BG15" s="54">
        <v>0.94930000000000003</v>
      </c>
      <c r="BH15" s="54">
        <v>0.32950000000000002</v>
      </c>
      <c r="BI15" s="54">
        <v>0.8498</v>
      </c>
      <c r="BJ15" s="54">
        <v>0.8175</v>
      </c>
      <c r="BK15" s="54">
        <v>0.92910000000000004</v>
      </c>
      <c r="BL15" s="53"/>
      <c r="BM15" s="53">
        <v>1.08</v>
      </c>
      <c r="BN15" s="138">
        <v>1.1618999999999999</v>
      </c>
      <c r="BO15" s="138">
        <v>1.3689</v>
      </c>
      <c r="BP15" s="54">
        <v>0.55169999999999997</v>
      </c>
      <c r="BQ15" s="54">
        <v>0.94640000000000002</v>
      </c>
    </row>
    <row r="16" spans="1:69" ht="30" x14ac:dyDescent="0.25">
      <c r="A16" s="37" t="s">
        <v>197</v>
      </c>
      <c r="B16" s="38">
        <v>0.77</v>
      </c>
      <c r="C16" s="38">
        <v>0.77</v>
      </c>
      <c r="D16" s="53">
        <v>1.67</v>
      </c>
      <c r="E16" s="53">
        <v>0.61</v>
      </c>
      <c r="F16" s="56">
        <v>-1.46</v>
      </c>
      <c r="G16" s="56">
        <v>2.25</v>
      </c>
      <c r="H16" s="57">
        <v>1.27</v>
      </c>
      <c r="I16" s="57">
        <v>0.57999999999999996</v>
      </c>
      <c r="J16" s="57">
        <v>5.18</v>
      </c>
      <c r="K16" s="57">
        <v>1.44</v>
      </c>
      <c r="L16" s="38">
        <v>7.75</v>
      </c>
      <c r="M16" s="38">
        <v>2.04</v>
      </c>
      <c r="N16" s="38">
        <v>-0.66</v>
      </c>
      <c r="O16" s="38">
        <v>1.93</v>
      </c>
      <c r="P16" s="53">
        <v>2.2799999999999998</v>
      </c>
      <c r="Q16" s="53">
        <v>0.61</v>
      </c>
      <c r="R16" s="56">
        <v>-10.73</v>
      </c>
      <c r="S16" s="56">
        <v>1.01</v>
      </c>
      <c r="T16" s="38">
        <v>2.81</v>
      </c>
      <c r="U16" s="56">
        <v>1.1599999999999999</v>
      </c>
      <c r="V16" s="56">
        <v>7.48</v>
      </c>
      <c r="W16" s="38">
        <v>7.48</v>
      </c>
      <c r="X16" s="57"/>
      <c r="Y16" s="57">
        <v>1.68</v>
      </c>
      <c r="Z16" s="38">
        <v>1.96</v>
      </c>
      <c r="AA16" s="38">
        <v>0.91</v>
      </c>
      <c r="AB16" s="38">
        <v>1.46</v>
      </c>
      <c r="AC16" s="38">
        <v>1.46</v>
      </c>
      <c r="AD16" s="38">
        <v>8.9499999999999993</v>
      </c>
      <c r="AE16" s="38">
        <v>2.31</v>
      </c>
      <c r="AF16" s="38"/>
      <c r="AG16" s="38">
        <v>1.52</v>
      </c>
      <c r="AH16" s="38">
        <v>3.72</v>
      </c>
      <c r="AI16" s="38">
        <v>1.1299999999999999</v>
      </c>
      <c r="AJ16" s="38">
        <v>5.19</v>
      </c>
      <c r="AK16" s="38">
        <v>1.51</v>
      </c>
      <c r="AL16" s="56">
        <v>5.09</v>
      </c>
      <c r="AM16" s="56">
        <v>2.21</v>
      </c>
      <c r="AN16" s="38">
        <v>1.78</v>
      </c>
      <c r="AO16" s="38">
        <v>0.62</v>
      </c>
      <c r="AP16" s="56">
        <v>7.6925162370954201</v>
      </c>
      <c r="AQ16" s="56">
        <v>2.1424953973166678</v>
      </c>
      <c r="AR16" s="38">
        <v>5.6</v>
      </c>
      <c r="AS16" s="38">
        <v>1.53</v>
      </c>
      <c r="AT16" s="38">
        <v>-0.08</v>
      </c>
      <c r="AU16" s="38">
        <v>1.64</v>
      </c>
      <c r="AV16" s="54">
        <v>5.73</v>
      </c>
      <c r="AW16" s="54">
        <v>2.04</v>
      </c>
      <c r="AX16" s="56">
        <v>8.75</v>
      </c>
      <c r="AY16" s="56">
        <v>1.87</v>
      </c>
      <c r="AZ16" s="56">
        <v>0.8</v>
      </c>
      <c r="BA16" s="56">
        <v>0.65</v>
      </c>
      <c r="BB16" s="38">
        <v>2.15</v>
      </c>
      <c r="BC16" s="38">
        <v>0.57999999999999996</v>
      </c>
      <c r="BD16" s="38">
        <v>1.79</v>
      </c>
      <c r="BE16" s="38">
        <v>1.79</v>
      </c>
      <c r="BF16" s="38">
        <v>5.47</v>
      </c>
      <c r="BG16" s="38">
        <v>1.63</v>
      </c>
      <c r="BH16" s="54">
        <v>10.911300000000001</v>
      </c>
      <c r="BI16" s="54">
        <v>3.2223999999999999</v>
      </c>
      <c r="BJ16" s="54">
        <v>1.4835</v>
      </c>
      <c r="BK16" s="54">
        <v>0.5877</v>
      </c>
      <c r="BL16" s="38"/>
      <c r="BM16" s="38">
        <v>1.33</v>
      </c>
      <c r="BN16" s="138">
        <v>8.6300000000000002E-2</v>
      </c>
      <c r="BO16" s="138">
        <v>1.8286</v>
      </c>
      <c r="BP16" s="38">
        <v>1.06</v>
      </c>
      <c r="BQ16" s="38">
        <v>1.1599999999999999</v>
      </c>
    </row>
    <row r="17" spans="1:69" x14ac:dyDescent="0.25">
      <c r="A17" s="37" t="s">
        <v>198</v>
      </c>
      <c r="B17" s="38">
        <v>-2.57</v>
      </c>
      <c r="C17" s="38">
        <v>-2.88</v>
      </c>
      <c r="D17" s="53">
        <v>-0.57999999999999996</v>
      </c>
      <c r="E17" s="53">
        <v>-0.79</v>
      </c>
      <c r="F17" s="56">
        <v>0.38</v>
      </c>
      <c r="G17" s="56">
        <v>0.11</v>
      </c>
      <c r="H17" s="56">
        <v>0.27</v>
      </c>
      <c r="I17" s="56">
        <v>0.01</v>
      </c>
      <c r="J17" s="57">
        <v>-0.08</v>
      </c>
      <c r="K17" s="53"/>
      <c r="L17" s="38">
        <v>-0.17</v>
      </c>
      <c r="M17" s="38">
        <v>-0.09</v>
      </c>
      <c r="N17" s="38">
        <v>-0.11</v>
      </c>
      <c r="O17" s="38">
        <v>-7.0000000000000007E-2</v>
      </c>
      <c r="P17" s="53">
        <v>-0.28999999999999998</v>
      </c>
      <c r="Q17" s="53">
        <v>-0.49</v>
      </c>
      <c r="R17" s="56">
        <v>0.02</v>
      </c>
      <c r="S17" s="56">
        <v>-0.39</v>
      </c>
      <c r="T17" s="38">
        <v>-1.24</v>
      </c>
      <c r="U17" s="56">
        <v>-2.2799999999999998</v>
      </c>
      <c r="V17" s="54">
        <v>-0.46800000000000003</v>
      </c>
      <c r="W17" s="54">
        <v>-0.62990000000000002</v>
      </c>
      <c r="X17" s="57"/>
      <c r="Y17" s="57">
        <v>-0.1</v>
      </c>
      <c r="Z17" s="38">
        <v>-0.5</v>
      </c>
      <c r="AA17" s="38">
        <v>-0.65</v>
      </c>
      <c r="AB17" s="38">
        <v>-0.05</v>
      </c>
      <c r="AC17" s="38">
        <v>-0.02</v>
      </c>
      <c r="AD17" s="38">
        <v>-0.01</v>
      </c>
      <c r="AE17" s="38">
        <v>-0.02</v>
      </c>
      <c r="AF17" s="54">
        <v>-0.1071</v>
      </c>
      <c r="AG17" s="54">
        <v>-7.4099999999999999E-2</v>
      </c>
      <c r="AH17" s="56">
        <v>-0.27</v>
      </c>
      <c r="AI17" s="38">
        <v>-0.31</v>
      </c>
      <c r="AJ17" s="38">
        <v>-0.04</v>
      </c>
      <c r="AK17" s="38">
        <v>-0.22</v>
      </c>
      <c r="AL17" s="57">
        <v>-0.19</v>
      </c>
      <c r="AM17" s="57">
        <v>-0.26</v>
      </c>
      <c r="AN17" s="38">
        <v>0.01</v>
      </c>
      <c r="AO17" s="38">
        <v>-0.13</v>
      </c>
      <c r="AP17" s="56">
        <v>-0.43720826565019805</v>
      </c>
      <c r="AQ17" s="56">
        <v>-0.42849254224192179</v>
      </c>
      <c r="AR17" s="38">
        <v>-0.33</v>
      </c>
      <c r="AS17" s="38">
        <v>-0.24</v>
      </c>
      <c r="AT17" s="38">
        <v>-0.24</v>
      </c>
      <c r="AU17" s="38">
        <v>-0.36</v>
      </c>
      <c r="AV17" s="54">
        <v>-0.22</v>
      </c>
      <c r="AW17" s="54">
        <v>-0.33</v>
      </c>
      <c r="AX17" s="56">
        <v>-0.13</v>
      </c>
      <c r="AY17" s="56">
        <v>-0.13</v>
      </c>
      <c r="AZ17" s="56">
        <v>-27.91</v>
      </c>
      <c r="BA17" s="56">
        <v>-40.950000000000003</v>
      </c>
      <c r="BB17" s="38">
        <v>0.04</v>
      </c>
      <c r="BC17" s="38">
        <v>0.15</v>
      </c>
      <c r="BD17" s="38">
        <v>-0.09</v>
      </c>
      <c r="BE17" s="38">
        <v>-0.08</v>
      </c>
      <c r="BF17" s="38">
        <v>-0.01</v>
      </c>
      <c r="BG17" s="38">
        <v>0.03</v>
      </c>
      <c r="BH17" s="54">
        <v>0.63429999999999997</v>
      </c>
      <c r="BI17" s="54">
        <v>0.1404</v>
      </c>
      <c r="BJ17" s="54">
        <v>0.31950000000000001</v>
      </c>
      <c r="BK17" s="54">
        <v>3.2800000000000003E-2</v>
      </c>
      <c r="BL17" s="38"/>
      <c r="BM17" s="38">
        <v>-0.11</v>
      </c>
      <c r="BN17" s="138">
        <v>5.5599999999999997E-2</v>
      </c>
      <c r="BO17" s="138">
        <v>-0.38340000000000002</v>
      </c>
      <c r="BP17" s="38">
        <v>0.37</v>
      </c>
      <c r="BQ17" s="38">
        <v>0.03</v>
      </c>
    </row>
    <row r="18" spans="1:69" x14ac:dyDescent="0.25">
      <c r="A18" s="37" t="s">
        <v>199</v>
      </c>
      <c r="B18" s="54">
        <v>-3.7372999999999998</v>
      </c>
      <c r="C18" s="54">
        <v>-2.8104</v>
      </c>
      <c r="D18" s="53">
        <v>-0.53</v>
      </c>
      <c r="E18" s="53">
        <v>-0.74</v>
      </c>
      <c r="F18" s="54">
        <v>0.62050000000000005</v>
      </c>
      <c r="G18" s="54">
        <v>0.31169999999999998</v>
      </c>
      <c r="H18" s="85">
        <v>0.3</v>
      </c>
      <c r="I18" s="85">
        <v>7.0000000000000007E-2</v>
      </c>
      <c r="J18" s="53">
        <v>0.06</v>
      </c>
      <c r="K18" s="53">
        <v>0.14000000000000001</v>
      </c>
      <c r="L18" s="53">
        <v>0.01</v>
      </c>
      <c r="M18" s="53">
        <v>0.1</v>
      </c>
      <c r="N18" s="54">
        <v>5.2699999999999997E-2</v>
      </c>
      <c r="O18" s="54">
        <v>8.4599999999999995E-2</v>
      </c>
      <c r="P18" s="53">
        <v>-0.23</v>
      </c>
      <c r="Q18" s="53">
        <v>-0.43</v>
      </c>
      <c r="R18" s="53">
        <v>0.14000000000000001</v>
      </c>
      <c r="S18" s="53">
        <v>-0.28999999999999998</v>
      </c>
      <c r="T18" s="53">
        <v>-1.18</v>
      </c>
      <c r="U18" s="53">
        <v>-2.23</v>
      </c>
      <c r="V18" s="54">
        <v>-3.0300000000000001E-2</v>
      </c>
      <c r="W18" s="54">
        <v>-5.0099999999999999E-2</v>
      </c>
      <c r="X18" s="53"/>
      <c r="Y18" s="53">
        <v>0.04</v>
      </c>
      <c r="Z18" s="54">
        <v>-0.44579999999999997</v>
      </c>
      <c r="AA18" s="54">
        <v>-0.6</v>
      </c>
      <c r="AB18" s="54">
        <v>0.12039999999999999</v>
      </c>
      <c r="AC18" s="54">
        <v>0.12959999999999999</v>
      </c>
      <c r="AD18" s="53">
        <v>0.13</v>
      </c>
      <c r="AE18" s="53">
        <v>0.15</v>
      </c>
      <c r="AF18" s="54">
        <v>9.1999999999999998E-3</v>
      </c>
      <c r="AG18" s="54">
        <v>3.4799999999999998E-2</v>
      </c>
      <c r="AH18" s="53">
        <v>-0.17</v>
      </c>
      <c r="AI18" s="53">
        <v>-0.21</v>
      </c>
      <c r="AJ18" s="53">
        <v>0.09</v>
      </c>
      <c r="AK18" s="53">
        <v>-0.11</v>
      </c>
      <c r="AL18" s="54">
        <v>-0.03</v>
      </c>
      <c r="AM18" s="54">
        <v>-2.3E-2</v>
      </c>
      <c r="AN18" s="53">
        <v>5.1999999999999998E-2</v>
      </c>
      <c r="AO18" s="53">
        <v>-7.6999999999999999E-2</v>
      </c>
      <c r="AP18" s="84">
        <v>-0.15463903762351566</v>
      </c>
      <c r="AQ18" s="84">
        <v>-0.17050369270026358</v>
      </c>
      <c r="AR18" s="38">
        <v>-15.96</v>
      </c>
      <c r="AS18" s="38">
        <v>-6.8</v>
      </c>
      <c r="AT18" s="38">
        <v>5.07</v>
      </c>
      <c r="AU18" s="38">
        <v>-5.53</v>
      </c>
      <c r="AV18" s="54">
        <v>-6.3399999999999998E-2</v>
      </c>
      <c r="AW18" s="54">
        <v>-0.1555</v>
      </c>
      <c r="AX18" s="53">
        <v>0.04</v>
      </c>
      <c r="AY18" s="53">
        <v>0.05</v>
      </c>
      <c r="AZ18" s="85">
        <v>-27.87</v>
      </c>
      <c r="BA18" s="85">
        <v>-40.92</v>
      </c>
      <c r="BB18" s="38">
        <v>0.67</v>
      </c>
      <c r="BC18" s="38">
        <v>0.22</v>
      </c>
      <c r="BD18" s="54">
        <v>5.2999999999999999E-2</v>
      </c>
      <c r="BE18" s="54">
        <v>5.3999999999999999E-2</v>
      </c>
      <c r="BF18" s="54">
        <v>0.1356</v>
      </c>
      <c r="BG18" s="54">
        <v>0.15160000000000001</v>
      </c>
      <c r="BH18" s="54">
        <v>0.94630000000000003</v>
      </c>
      <c r="BI18" s="54">
        <v>0.46339999999999998</v>
      </c>
      <c r="BJ18" s="54">
        <v>0.34189999999999998</v>
      </c>
      <c r="BK18" s="54">
        <v>6.4199999999999993E-2</v>
      </c>
      <c r="BL18" s="53"/>
      <c r="BM18" s="53">
        <v>0.01</v>
      </c>
      <c r="BN18" s="138">
        <v>3.8600000000000002E-2</v>
      </c>
      <c r="BO18" s="138">
        <v>-0.16309999999999999</v>
      </c>
      <c r="BP18" s="54">
        <v>0.51570000000000005</v>
      </c>
      <c r="BQ18" s="54">
        <v>0.1489</v>
      </c>
    </row>
    <row r="19" spans="1:69" x14ac:dyDescent="0.25">
      <c r="A19" s="37" t="s">
        <v>200</v>
      </c>
      <c r="B19" s="38">
        <v>0.97</v>
      </c>
      <c r="C19" s="38">
        <v>0.97</v>
      </c>
      <c r="D19" s="53">
        <v>0.1</v>
      </c>
      <c r="E19" s="53">
        <v>0.1</v>
      </c>
      <c r="F19" s="56">
        <v>-4.6500000000000004</v>
      </c>
      <c r="G19" s="56">
        <v>1.6</v>
      </c>
      <c r="H19" s="57">
        <v>0.48</v>
      </c>
      <c r="I19" s="57">
        <v>0.48</v>
      </c>
      <c r="J19" s="57">
        <v>0.14000000000000001</v>
      </c>
      <c r="K19" s="57">
        <v>0.14000000000000001</v>
      </c>
      <c r="L19" s="38">
        <v>0.24</v>
      </c>
      <c r="M19" s="38">
        <v>0.24</v>
      </c>
      <c r="N19" s="38">
        <v>0.21</v>
      </c>
      <c r="O19" s="38">
        <v>0.11</v>
      </c>
      <c r="P19" s="53">
        <v>0.51</v>
      </c>
      <c r="Q19" s="53">
        <v>0.51</v>
      </c>
      <c r="R19" s="58">
        <v>0.4</v>
      </c>
      <c r="S19" s="58">
        <v>0.4</v>
      </c>
      <c r="T19" s="38">
        <v>0.37</v>
      </c>
      <c r="U19" s="38">
        <v>0.37</v>
      </c>
      <c r="V19" s="56">
        <v>-4.74</v>
      </c>
      <c r="W19" s="38">
        <v>0.26</v>
      </c>
      <c r="X19" s="57"/>
      <c r="Y19" s="57">
        <v>0.18</v>
      </c>
      <c r="Z19" s="54">
        <v>0.52239999999999998</v>
      </c>
      <c r="AA19" s="54">
        <v>0.52239999999999998</v>
      </c>
      <c r="AB19" s="38">
        <v>0.2</v>
      </c>
      <c r="AC19" s="38">
        <v>0.2</v>
      </c>
      <c r="AD19" s="38">
        <v>0.1</v>
      </c>
      <c r="AE19" s="38">
        <v>0.1</v>
      </c>
      <c r="AF19" s="54"/>
      <c r="AG19" s="38">
        <v>0.32</v>
      </c>
      <c r="AH19" s="56">
        <v>0.24</v>
      </c>
      <c r="AI19" s="38">
        <v>0.24</v>
      </c>
      <c r="AJ19" s="38">
        <v>0.27</v>
      </c>
      <c r="AK19" s="38">
        <v>0.27</v>
      </c>
      <c r="AL19" s="56">
        <v>0.23</v>
      </c>
      <c r="AM19" s="56">
        <v>0.23</v>
      </c>
      <c r="AN19" s="38">
        <v>0.75</v>
      </c>
      <c r="AO19" s="38">
        <v>0.75</v>
      </c>
      <c r="AP19" s="56">
        <v>0.13266017964826257</v>
      </c>
      <c r="AQ19" s="56">
        <v>0.13266017964826257</v>
      </c>
      <c r="AR19" s="38">
        <v>0.36</v>
      </c>
      <c r="AS19" s="38">
        <v>0.36</v>
      </c>
      <c r="AT19" s="38">
        <v>-4.2699999999999996</v>
      </c>
      <c r="AU19" s="38">
        <v>0.3</v>
      </c>
      <c r="AV19" s="54">
        <v>0.56000000000000005</v>
      </c>
      <c r="AW19" s="54">
        <v>0.56000000000000005</v>
      </c>
      <c r="AX19" s="56">
        <v>0.23</v>
      </c>
      <c r="AY19" s="56">
        <v>0.23</v>
      </c>
      <c r="AZ19" s="57">
        <v>10.57</v>
      </c>
      <c r="BA19" s="57">
        <v>10.57</v>
      </c>
      <c r="BB19" s="38">
        <v>0.35</v>
      </c>
      <c r="BC19" s="38">
        <v>0.35</v>
      </c>
      <c r="BD19" s="38">
        <v>0.37</v>
      </c>
      <c r="BE19" s="38">
        <v>0.37</v>
      </c>
      <c r="BF19" s="38">
        <v>0.31</v>
      </c>
      <c r="BG19" s="38">
        <v>0.31</v>
      </c>
      <c r="BH19" s="54">
        <v>0.28939999999999999</v>
      </c>
      <c r="BI19" s="54">
        <v>0.28939999999999999</v>
      </c>
      <c r="BJ19" s="54">
        <v>0.37590000000000001</v>
      </c>
      <c r="BK19" s="54">
        <v>0.37590000000000001</v>
      </c>
      <c r="BL19" s="38"/>
      <c r="BM19" s="38">
        <v>0.19</v>
      </c>
      <c r="BN19" s="141"/>
      <c r="BO19" s="138">
        <v>0.16439999999999999</v>
      </c>
      <c r="BP19" s="38">
        <v>0.46</v>
      </c>
      <c r="BQ19" s="38">
        <v>0.46</v>
      </c>
    </row>
    <row r="20" spans="1:69" x14ac:dyDescent="0.25">
      <c r="A20" s="37" t="s">
        <v>201</v>
      </c>
      <c r="B20" s="54">
        <v>-2.5531000000000001</v>
      </c>
      <c r="C20" s="54">
        <v>-2.7528999999999999</v>
      </c>
      <c r="D20" s="53">
        <v>-0.36</v>
      </c>
      <c r="E20" s="53">
        <v>-0.54</v>
      </c>
      <c r="F20" s="54">
        <v>0.53839999999999999</v>
      </c>
      <c r="G20" s="54">
        <v>0.28249999999999997</v>
      </c>
      <c r="H20" s="84">
        <v>0.13439999999999999</v>
      </c>
      <c r="I20" s="84">
        <v>6.0000000000000001E-3</v>
      </c>
      <c r="J20" s="53">
        <v>0.04</v>
      </c>
      <c r="K20" s="53">
        <v>0.1</v>
      </c>
      <c r="L20" s="53">
        <v>0.01</v>
      </c>
      <c r="M20" s="53">
        <v>0</v>
      </c>
      <c r="N20" s="54">
        <v>2.6200000000000001E-2</v>
      </c>
      <c r="O20" s="54">
        <v>5.3400000000000003E-2</v>
      </c>
      <c r="P20" s="53">
        <v>-0.22</v>
      </c>
      <c r="Q20" s="53">
        <v>-0.36</v>
      </c>
      <c r="R20" s="53">
        <v>-0.04</v>
      </c>
      <c r="S20" s="53">
        <v>-0.22</v>
      </c>
      <c r="T20" s="53">
        <v>-1.1100000000000001</v>
      </c>
      <c r="U20" s="53">
        <v>-2</v>
      </c>
      <c r="V20" s="54">
        <v>0.19620000000000001</v>
      </c>
      <c r="W20" s="54">
        <v>0.28089999999999998</v>
      </c>
      <c r="X20" s="85"/>
      <c r="Y20" s="53">
        <v>7.0000000000000007E-2</v>
      </c>
      <c r="Z20" s="54">
        <v>-0.4148</v>
      </c>
      <c r="AA20" s="54">
        <v>-0.5413</v>
      </c>
      <c r="AB20" s="54">
        <v>3.2000000000000001E-2</v>
      </c>
      <c r="AC20" s="54">
        <v>8.7599999999999997E-2</v>
      </c>
      <c r="AD20" s="53">
        <v>0.1</v>
      </c>
      <c r="AE20" s="53">
        <v>0.13</v>
      </c>
      <c r="AF20" s="54">
        <v>2.3400000000000001E-2</v>
      </c>
      <c r="AG20" s="54">
        <v>4.2700000000000002E-2</v>
      </c>
      <c r="AH20" s="53">
        <v>-0.1</v>
      </c>
      <c r="AI20" s="53">
        <v>-0.13</v>
      </c>
      <c r="AJ20" s="53">
        <v>-0.2</v>
      </c>
      <c r="AK20" s="53">
        <v>-0.17</v>
      </c>
      <c r="AL20" s="54">
        <v>-1.7000000000000001E-2</v>
      </c>
      <c r="AM20" s="54">
        <v>3.0000000000000001E-3</v>
      </c>
      <c r="AN20" s="53">
        <v>0.03</v>
      </c>
      <c r="AO20" s="53">
        <v>-7.0000000000000007E-2</v>
      </c>
      <c r="AP20" s="84">
        <v>-0.19291602520608295</v>
      </c>
      <c r="AQ20" s="84">
        <v>-0.17575282110830162</v>
      </c>
      <c r="AR20" s="38">
        <v>-4.49</v>
      </c>
      <c r="AS20" s="38">
        <v>2.62</v>
      </c>
      <c r="AT20" s="38">
        <v>11.11</v>
      </c>
      <c r="AU20" s="38">
        <v>-2.71</v>
      </c>
      <c r="AV20" s="54">
        <v>-0.20760000000000001</v>
      </c>
      <c r="AW20" s="54">
        <v>-0.19359999999999999</v>
      </c>
      <c r="AX20" s="53">
        <v>0.08</v>
      </c>
      <c r="AY20" s="53">
        <v>0.06</v>
      </c>
      <c r="AZ20" s="85">
        <v>-13.17</v>
      </c>
      <c r="BA20" s="85">
        <v>-28.73</v>
      </c>
      <c r="BB20" s="38">
        <v>7.0000000000000007E-2</v>
      </c>
      <c r="BC20" s="38">
        <v>0.04</v>
      </c>
      <c r="BD20" s="54">
        <v>0.05</v>
      </c>
      <c r="BE20" s="54">
        <v>5.5E-2</v>
      </c>
      <c r="BF20" s="54">
        <v>3.6999999999999998E-2</v>
      </c>
      <c r="BG20" s="54">
        <v>0.13059999999999999</v>
      </c>
      <c r="BH20" s="54">
        <v>0.51149999999999995</v>
      </c>
      <c r="BI20" s="54">
        <v>0.30399999999999999</v>
      </c>
      <c r="BJ20" s="54">
        <v>0.25790000000000002</v>
      </c>
      <c r="BK20" s="54">
        <v>4.4400000000000002E-2</v>
      </c>
      <c r="BL20" s="53"/>
      <c r="BM20" s="53">
        <v>0.02</v>
      </c>
      <c r="BN20" s="138">
        <v>5.3E-3</v>
      </c>
      <c r="BO20" s="138">
        <v>-0.13619999999999999</v>
      </c>
      <c r="BP20" s="54">
        <v>0.27</v>
      </c>
      <c r="BQ20" s="54">
        <v>0.10059999999999999</v>
      </c>
    </row>
    <row r="21" spans="1:69" x14ac:dyDescent="0.25">
      <c r="A21" s="37" t="s">
        <v>202</v>
      </c>
      <c r="B21" s="54">
        <v>-0.73370000000000002</v>
      </c>
      <c r="C21" s="54">
        <v>-1.4986999999999999</v>
      </c>
      <c r="D21" s="53">
        <v>-0.38</v>
      </c>
      <c r="E21" s="53">
        <v>-1.6</v>
      </c>
      <c r="F21" s="54">
        <v>3.1099999999999999E-2</v>
      </c>
      <c r="G21" s="54">
        <v>0.1169</v>
      </c>
      <c r="H21" s="54">
        <v>0.2661</v>
      </c>
      <c r="I21" s="54">
        <v>2.5899999999999999E-2</v>
      </c>
      <c r="J21" s="53">
        <v>0.02</v>
      </c>
      <c r="K21" s="53">
        <v>0.15</v>
      </c>
      <c r="L21" s="53">
        <v>0</v>
      </c>
      <c r="M21" s="53">
        <v>0.01</v>
      </c>
      <c r="N21" s="54">
        <v>1.6400000000000001E-2</v>
      </c>
      <c r="O21" s="54">
        <v>0.1231</v>
      </c>
      <c r="P21" s="53">
        <v>-0.16</v>
      </c>
      <c r="Q21" s="53">
        <v>-1.01</v>
      </c>
      <c r="R21" s="55">
        <v>3.0000000000000001E-3</v>
      </c>
      <c r="S21" s="53">
        <v>-0.21</v>
      </c>
      <c r="T21" s="53">
        <v>-0.16</v>
      </c>
      <c r="U21" s="53">
        <v>-0.48</v>
      </c>
      <c r="V21" s="54">
        <v>5.4800000000000001E-2</v>
      </c>
      <c r="W21" s="54">
        <v>5.4800000000000001E-2</v>
      </c>
      <c r="X21" s="85"/>
      <c r="Y21" s="53">
        <v>0.15</v>
      </c>
      <c r="Z21" s="54">
        <v>-0.23649999999999999</v>
      </c>
      <c r="AA21" s="54">
        <v>-0.56459999999999999</v>
      </c>
      <c r="AB21" s="54">
        <v>0.19320000000000001</v>
      </c>
      <c r="AC21" s="54">
        <v>0.19320000000000001</v>
      </c>
      <c r="AD21" s="53">
        <v>0.04</v>
      </c>
      <c r="AE21" s="53">
        <v>0.2</v>
      </c>
      <c r="AF21" s="38"/>
      <c r="AG21" s="54">
        <v>7.9299999999999995E-2</v>
      </c>
      <c r="AH21" s="53">
        <v>-0.08</v>
      </c>
      <c r="AI21" s="53">
        <v>-0.32</v>
      </c>
      <c r="AJ21" s="53">
        <v>-0.4</v>
      </c>
      <c r="AK21" s="53">
        <v>-0.28999999999999998</v>
      </c>
      <c r="AL21" s="54">
        <v>-1.4E-2</v>
      </c>
      <c r="AM21" s="54">
        <v>5.0000000000000001E-3</v>
      </c>
      <c r="AN21" s="53">
        <v>0.02</v>
      </c>
      <c r="AO21" s="53">
        <v>-0.18</v>
      </c>
      <c r="AP21" s="84">
        <v>-3.3122320852703542</v>
      </c>
      <c r="AQ21" s="84">
        <v>-10.834360533180638</v>
      </c>
      <c r="AR21" s="38">
        <v>-7.0000000000000007E-2</v>
      </c>
      <c r="AS21" s="38">
        <v>3.68</v>
      </c>
      <c r="AT21" s="38">
        <v>-100</v>
      </c>
      <c r="AU21" s="38">
        <v>-10.26</v>
      </c>
      <c r="AV21" s="54">
        <v>-3.6799999999999999E-2</v>
      </c>
      <c r="AW21" s="54">
        <v>-9.6500000000000002E-2</v>
      </c>
      <c r="AX21" s="53">
        <v>0.04</v>
      </c>
      <c r="AY21" s="53">
        <v>0.13</v>
      </c>
      <c r="AZ21" s="53">
        <v>-0.35</v>
      </c>
      <c r="BA21" s="53">
        <v>-0.95</v>
      </c>
      <c r="BB21" s="38">
        <v>0.05</v>
      </c>
      <c r="BC21" s="38">
        <v>0.13</v>
      </c>
      <c r="BD21" s="54">
        <v>2.5000000000000001E-2</v>
      </c>
      <c r="BE21" s="54">
        <v>0.106</v>
      </c>
      <c r="BF21" s="54">
        <v>1.55E-2</v>
      </c>
      <c r="BG21" s="54">
        <v>0.18310000000000001</v>
      </c>
      <c r="BH21" s="54">
        <v>0.16980000000000001</v>
      </c>
      <c r="BI21" s="54">
        <v>0.3412</v>
      </c>
      <c r="BJ21" s="54">
        <v>0.28499999999999998</v>
      </c>
      <c r="BK21" s="54">
        <v>0.1239</v>
      </c>
      <c r="BL21" s="53"/>
      <c r="BM21" s="53">
        <v>0.06</v>
      </c>
      <c r="BN21" s="141"/>
      <c r="BO21" s="138">
        <v>-0.64770000000000005</v>
      </c>
      <c r="BP21" s="54">
        <v>0.1217</v>
      </c>
      <c r="BQ21" s="54">
        <v>0.153</v>
      </c>
    </row>
    <row r="22" spans="1:69" ht="45" x14ac:dyDescent="0.25">
      <c r="A22" s="37" t="s">
        <v>203</v>
      </c>
      <c r="B22" s="38">
        <v>1.78</v>
      </c>
      <c r="C22" s="38">
        <v>1.78</v>
      </c>
      <c r="D22" s="53">
        <v>1.62</v>
      </c>
      <c r="E22" s="53">
        <v>1.62</v>
      </c>
      <c r="F22" s="56">
        <v>2.0299999999999998</v>
      </c>
      <c r="G22" s="56">
        <v>2.14</v>
      </c>
      <c r="H22" s="57">
        <v>1.64</v>
      </c>
      <c r="I22" s="57">
        <v>1.64</v>
      </c>
      <c r="J22" s="53">
        <v>2.5499999999999998</v>
      </c>
      <c r="K22" s="53">
        <v>2.5499999999999998</v>
      </c>
      <c r="L22" s="38">
        <v>1.76</v>
      </c>
      <c r="M22" s="38">
        <v>1.76</v>
      </c>
      <c r="N22" s="38">
        <v>1.55</v>
      </c>
      <c r="O22" s="38">
        <v>1.55</v>
      </c>
      <c r="P22" s="53">
        <v>2.23</v>
      </c>
      <c r="Q22" s="53">
        <v>2.23</v>
      </c>
      <c r="R22" s="56">
        <v>2.6</v>
      </c>
      <c r="S22" s="56">
        <v>2.6</v>
      </c>
      <c r="T22" s="38">
        <v>2.4</v>
      </c>
      <c r="U22" s="38">
        <v>2.4</v>
      </c>
      <c r="V22" s="38"/>
      <c r="W22" s="38">
        <v>10.4</v>
      </c>
      <c r="X22" s="57"/>
      <c r="Y22" s="57">
        <v>1.54</v>
      </c>
      <c r="Z22" s="38">
        <v>2.27</v>
      </c>
      <c r="AA22" s="38">
        <v>2.27</v>
      </c>
      <c r="AB22" s="38">
        <v>1.75</v>
      </c>
      <c r="AC22" s="38">
        <v>1.75</v>
      </c>
      <c r="AD22" s="38">
        <v>2.2400000000000002</v>
      </c>
      <c r="AE22" s="38">
        <v>2.2400000000000002</v>
      </c>
      <c r="AF22" s="38"/>
      <c r="AG22" s="38">
        <v>1.66</v>
      </c>
      <c r="AH22" s="38">
        <v>1.86</v>
      </c>
      <c r="AI22" s="38">
        <v>1.86</v>
      </c>
      <c r="AJ22" s="38">
        <v>2.15</v>
      </c>
      <c r="AK22" s="38">
        <v>2.15</v>
      </c>
      <c r="AL22" s="56">
        <v>1.58</v>
      </c>
      <c r="AM22" s="56">
        <v>1.58</v>
      </c>
      <c r="AN22" s="38">
        <v>1.77</v>
      </c>
      <c r="AO22" s="38">
        <v>1.77</v>
      </c>
      <c r="AP22" s="38"/>
      <c r="AQ22" s="56">
        <v>1.0407735487928265</v>
      </c>
      <c r="AR22" s="38">
        <v>2.13</v>
      </c>
      <c r="AS22" s="38">
        <v>2.13</v>
      </c>
      <c r="AT22" s="38">
        <v>3.86</v>
      </c>
      <c r="AU22" s="38">
        <v>1.57</v>
      </c>
      <c r="AV22" s="56">
        <v>3.83</v>
      </c>
      <c r="AW22" s="56">
        <v>3.83</v>
      </c>
      <c r="AX22" s="56">
        <v>1.6</v>
      </c>
      <c r="AY22" s="56">
        <v>1.6</v>
      </c>
      <c r="AZ22" s="57">
        <v>1.53</v>
      </c>
      <c r="BA22" s="57">
        <v>1.53</v>
      </c>
      <c r="BB22" s="59">
        <v>1.56</v>
      </c>
      <c r="BC22" s="59">
        <v>1.56</v>
      </c>
      <c r="BD22" s="38">
        <v>1.93</v>
      </c>
      <c r="BE22" s="38">
        <v>1.93</v>
      </c>
      <c r="BF22" s="38">
        <v>2.34</v>
      </c>
      <c r="BG22" s="38">
        <v>2.34</v>
      </c>
      <c r="BH22" s="38">
        <v>3.47</v>
      </c>
      <c r="BI22" s="38">
        <v>3.47</v>
      </c>
      <c r="BJ22" s="38"/>
      <c r="BK22" s="38">
        <v>2.0099999999999998</v>
      </c>
      <c r="BL22" s="38"/>
      <c r="BM22" s="38">
        <v>1.63</v>
      </c>
      <c r="BN22" s="141"/>
      <c r="BO22" s="142">
        <v>1.52</v>
      </c>
      <c r="BP22" s="38">
        <v>2.2400000000000002</v>
      </c>
      <c r="BQ22" s="38">
        <v>2.2400000000000002</v>
      </c>
    </row>
    <row r="23" spans="1:69" x14ac:dyDescent="0.25">
      <c r="A23" s="37" t="s">
        <v>204</v>
      </c>
      <c r="B23" s="38"/>
      <c r="C23" s="38"/>
      <c r="D23" s="38"/>
      <c r="E23" s="38"/>
      <c r="F23" s="121">
        <v>7.9000000000000008E-3</v>
      </c>
      <c r="G23" s="54">
        <v>7.9000000000000008E-3</v>
      </c>
      <c r="H23" s="38"/>
      <c r="I23" s="38"/>
      <c r="J23" s="38"/>
      <c r="K23" s="38"/>
      <c r="L23" s="38"/>
      <c r="M23" s="38"/>
      <c r="N23" s="38"/>
      <c r="O23" s="38"/>
      <c r="P23" s="53"/>
      <c r="Q23" s="53"/>
      <c r="R23" s="57"/>
      <c r="S23" s="57"/>
      <c r="T23" s="57"/>
      <c r="U23" s="57"/>
      <c r="V23" s="54"/>
      <c r="W23" s="38"/>
      <c r="X23" s="38"/>
      <c r="Y23" s="38"/>
      <c r="Z23" s="38"/>
      <c r="AA23" s="38"/>
      <c r="AB23" s="57"/>
      <c r="AC23" s="57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54">
        <v>0.25</v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54">
        <v>1.47E-2</v>
      </c>
      <c r="BQ23" s="54">
        <v>1.47E-2</v>
      </c>
    </row>
    <row r="24" spans="1:69" x14ac:dyDescent="0.25">
      <c r="A24" s="37" t="s">
        <v>140</v>
      </c>
      <c r="B24" s="38"/>
      <c r="C24" s="38"/>
      <c r="D24" s="38"/>
      <c r="E24" s="38"/>
      <c r="F24" s="38"/>
      <c r="G24" s="38"/>
      <c r="H24" s="38">
        <v>4.8</v>
      </c>
      <c r="I24" s="38">
        <v>4.8</v>
      </c>
      <c r="J24" s="38"/>
      <c r="K24" s="38"/>
      <c r="L24" s="53">
        <v>0.02</v>
      </c>
      <c r="M24" s="53">
        <v>0.02</v>
      </c>
      <c r="N24" s="54">
        <v>2.1999999999999999E-2</v>
      </c>
      <c r="O24" s="54">
        <v>2.1999999999999999E-2</v>
      </c>
      <c r="P24" s="53"/>
      <c r="Q24" s="53"/>
      <c r="R24" s="57"/>
      <c r="S24" s="57"/>
      <c r="T24" s="38"/>
      <c r="U24" s="38"/>
      <c r="V24" s="38"/>
      <c r="W24" s="38"/>
      <c r="X24" s="57"/>
      <c r="Y24" s="57">
        <v>1.03</v>
      </c>
      <c r="Z24" s="38"/>
      <c r="AA24" s="38"/>
      <c r="AB24" s="57"/>
      <c r="AC24" s="57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84">
        <v>1.3599999999999999E-2</v>
      </c>
      <c r="AR24" s="38">
        <v>0.55000000000000004</v>
      </c>
      <c r="AS24" s="38">
        <v>0.55000000000000004</v>
      </c>
      <c r="AT24" s="38"/>
      <c r="AU24" s="38">
        <v>2.08</v>
      </c>
      <c r="AV24" s="38"/>
      <c r="AW24" s="54">
        <v>4.8000000000000001E-2</v>
      </c>
      <c r="AX24" s="54">
        <v>3.7000000000000002E-3</v>
      </c>
      <c r="AY24" s="54">
        <v>3.7000000000000002E-3</v>
      </c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54">
        <v>6.4999999999999997E-3</v>
      </c>
      <c r="BK24" s="54">
        <v>6.4999999999999997E-3</v>
      </c>
      <c r="BL24" s="38"/>
      <c r="BM24" s="38"/>
      <c r="BN24" s="38"/>
      <c r="BO24" s="138">
        <v>1.26E-2</v>
      </c>
      <c r="BP24" s="38"/>
      <c r="BQ24" s="38"/>
    </row>
    <row r="25" spans="1:69" x14ac:dyDescent="0.25">
      <c r="A25" s="37" t="s">
        <v>141</v>
      </c>
      <c r="B25" s="38"/>
      <c r="C25" s="38"/>
      <c r="D25" s="38"/>
      <c r="E25" s="38"/>
      <c r="F25" s="38"/>
      <c r="G25" s="38"/>
      <c r="H25" s="38">
        <v>4.03</v>
      </c>
      <c r="I25" s="38">
        <v>4.03</v>
      </c>
      <c r="J25" s="38"/>
      <c r="K25" s="38"/>
      <c r="L25" s="53">
        <v>0.01</v>
      </c>
      <c r="M25" s="53">
        <v>0.01</v>
      </c>
      <c r="N25" s="54">
        <v>1.72E-2</v>
      </c>
      <c r="O25" s="54">
        <v>1.72E-2</v>
      </c>
      <c r="P25" s="38"/>
      <c r="Q25" s="38"/>
      <c r="R25" s="38"/>
      <c r="S25" s="38"/>
      <c r="T25" s="38"/>
      <c r="U25" s="38"/>
      <c r="V25" s="38"/>
      <c r="W25" s="38"/>
      <c r="X25" s="57"/>
      <c r="Y25" s="57">
        <v>0.86</v>
      </c>
      <c r="Z25" s="38"/>
      <c r="AA25" s="38"/>
      <c r="AB25" s="57"/>
      <c r="AC25" s="57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84">
        <v>9.9000000000000008E-3</v>
      </c>
      <c r="AR25" s="38">
        <v>0.15</v>
      </c>
      <c r="AS25" s="38">
        <v>0.15</v>
      </c>
      <c r="AT25" s="38"/>
      <c r="AU25" s="38">
        <v>1.37</v>
      </c>
      <c r="AV25" s="38"/>
      <c r="AW25" s="54">
        <v>3.6400000000000002E-2</v>
      </c>
      <c r="AX25" s="54">
        <v>1.1000000000000001E-3</v>
      </c>
      <c r="AY25" s="54">
        <v>1.1000000000000001E-3</v>
      </c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54">
        <v>3.2000000000000002E-3</v>
      </c>
      <c r="BK25" s="54">
        <v>3.2000000000000002E-3</v>
      </c>
      <c r="BL25" s="38"/>
      <c r="BM25" s="38"/>
      <c r="BN25" s="38"/>
      <c r="BO25" s="138">
        <v>8.3999999999999995E-3</v>
      </c>
      <c r="BP25" s="38"/>
      <c r="BQ25" s="38"/>
    </row>
  </sheetData>
  <mergeCells count="34"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V3:AW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BL3:BM3"/>
    <mergeCell ref="BN3:BO3"/>
    <mergeCell ref="BP3:BQ3"/>
    <mergeCell ref="AX3:AY3"/>
    <mergeCell ref="BB3:BC3"/>
    <mergeCell ref="BD3:BE3"/>
    <mergeCell ref="BF3:BG3"/>
    <mergeCell ref="BH3:BI3"/>
    <mergeCell ref="BJ3:BK3"/>
    <mergeCell ref="AZ3:BA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6"/>
  <sheetViews>
    <sheetView topLeftCell="A2" workbookViewId="0">
      <pane xSplit="1" ySplit="3" topLeftCell="B5" activePane="bottomRight" state="frozen"/>
      <selection activeCell="BL28" sqref="BL28"/>
      <selection pane="topRight" activeCell="BL28" sqref="BL28"/>
      <selection pane="bottomLeft" activeCell="BL28" sqref="BL28"/>
      <selection pane="bottomRight" activeCell="B3" sqref="B3"/>
    </sheetView>
  </sheetViews>
  <sheetFormatPr defaultRowHeight="15" x14ac:dyDescent="0.25"/>
  <cols>
    <col min="1" max="1" width="42" style="4" customWidth="1"/>
    <col min="2" max="35" width="16" style="4" customWidth="1"/>
    <col min="36" max="16384" width="9.140625" style="4"/>
  </cols>
  <sheetData>
    <row r="1" spans="1:67" ht="18.75" x14ac:dyDescent="0.3">
      <c r="A1" s="41" t="s">
        <v>269</v>
      </c>
    </row>
    <row r="2" spans="1:67" ht="18.75" x14ac:dyDescent="0.3">
      <c r="A2" s="41" t="s">
        <v>324</v>
      </c>
    </row>
    <row r="3" spans="1:67" x14ac:dyDescent="0.25">
      <c r="A3" s="4" t="s">
        <v>265</v>
      </c>
    </row>
    <row r="4" spans="1:67" s="22" customFormat="1" x14ac:dyDescent="0.25">
      <c r="A4" s="26" t="s">
        <v>0</v>
      </c>
      <c r="B4" s="103" t="s">
        <v>1</v>
      </c>
      <c r="C4" s="103" t="s">
        <v>2</v>
      </c>
      <c r="D4" s="103" t="s">
        <v>3</v>
      </c>
      <c r="E4" s="103" t="s">
        <v>4</v>
      </c>
      <c r="F4" s="103" t="s">
        <v>5</v>
      </c>
      <c r="G4" s="103" t="s">
        <v>6</v>
      </c>
      <c r="H4" s="103" t="s">
        <v>7</v>
      </c>
      <c r="I4" s="103" t="s">
        <v>8</v>
      </c>
      <c r="J4" s="103" t="s">
        <v>9</v>
      </c>
      <c r="K4" s="103" t="s">
        <v>10</v>
      </c>
      <c r="L4" s="103" t="s">
        <v>11</v>
      </c>
      <c r="M4" s="103" t="s">
        <v>12</v>
      </c>
      <c r="N4" s="103" t="s">
        <v>13</v>
      </c>
      <c r="O4" s="103" t="s">
        <v>14</v>
      </c>
      <c r="P4" s="103" t="s">
        <v>15</v>
      </c>
      <c r="Q4" s="103" t="s">
        <v>16</v>
      </c>
      <c r="R4" s="103" t="s">
        <v>17</v>
      </c>
      <c r="S4" s="103" t="s">
        <v>18</v>
      </c>
      <c r="T4" s="103" t="s">
        <v>19</v>
      </c>
      <c r="U4" s="103" t="s">
        <v>20</v>
      </c>
      <c r="V4" s="103" t="s">
        <v>21</v>
      </c>
      <c r="W4" s="103" t="s">
        <v>147</v>
      </c>
      <c r="X4" s="103" t="s">
        <v>148</v>
      </c>
      <c r="Y4" s="103" t="s">
        <v>22</v>
      </c>
      <c r="Z4" s="103" t="s">
        <v>23</v>
      </c>
      <c r="AA4" s="103" t="s">
        <v>332</v>
      </c>
      <c r="AB4" s="103" t="s">
        <v>24</v>
      </c>
      <c r="AC4" s="103" t="s">
        <v>25</v>
      </c>
      <c r="AD4" s="103" t="s">
        <v>26</v>
      </c>
      <c r="AE4" s="103" t="s">
        <v>27</v>
      </c>
      <c r="AF4" s="103" t="s">
        <v>28</v>
      </c>
      <c r="AG4" s="103" t="s">
        <v>29</v>
      </c>
      <c r="AH4" s="103" t="s">
        <v>30</v>
      </c>
      <c r="AI4" s="103" t="s">
        <v>31</v>
      </c>
    </row>
    <row r="5" spans="1:67" x14ac:dyDescent="0.25">
      <c r="A5" s="25" t="s">
        <v>282</v>
      </c>
      <c r="B5" s="21">
        <v>12459</v>
      </c>
      <c r="C5" s="21">
        <v>47856.61</v>
      </c>
      <c r="D5" s="21">
        <v>691375</v>
      </c>
      <c r="E5" s="21">
        <v>123920</v>
      </c>
      <c r="F5" s="21">
        <v>1453619</v>
      </c>
      <c r="G5" s="21">
        <v>384727</v>
      </c>
      <c r="H5" s="21">
        <v>760464.77</v>
      </c>
      <c r="I5" s="21">
        <v>34511.03</v>
      </c>
      <c r="J5" s="21">
        <v>27069</v>
      </c>
      <c r="K5" s="21">
        <v>7047</v>
      </c>
      <c r="L5" s="21">
        <v>709768.91</v>
      </c>
      <c r="M5" s="21">
        <v>355702</v>
      </c>
      <c r="N5" s="21">
        <v>104059</v>
      </c>
      <c r="O5" s="21">
        <v>861156.6</v>
      </c>
      <c r="P5" s="21">
        <v>2662708</v>
      </c>
      <c r="Q5" s="21">
        <v>692358.52</v>
      </c>
      <c r="R5" s="21">
        <v>31981</v>
      </c>
      <c r="S5" s="21">
        <v>145517</v>
      </c>
      <c r="T5" s="21">
        <v>136431</v>
      </c>
      <c r="U5" s="21">
        <v>48561</v>
      </c>
      <c r="V5" s="21">
        <v>3161776.47</v>
      </c>
      <c r="W5" s="21">
        <v>3585419.62</v>
      </c>
      <c r="X5" s="38">
        <v>2388963</v>
      </c>
      <c r="Y5" s="21">
        <v>24317</v>
      </c>
      <c r="Z5" s="21">
        <v>851271</v>
      </c>
      <c r="AA5" s="21">
        <v>276</v>
      </c>
      <c r="AB5" s="21">
        <v>110092</v>
      </c>
      <c r="AC5" s="21">
        <v>452803</v>
      </c>
      <c r="AD5" s="21">
        <v>552273</v>
      </c>
      <c r="AE5" s="21">
        <v>823188</v>
      </c>
      <c r="AF5" s="21">
        <v>273685.11</v>
      </c>
      <c r="AG5" s="21">
        <v>972299</v>
      </c>
      <c r="AH5" s="21">
        <v>3341557.34</v>
      </c>
      <c r="AI5" s="21">
        <v>293668</v>
      </c>
    </row>
    <row r="6" spans="1:67" x14ac:dyDescent="0.25">
      <c r="A6" s="25" t="s">
        <v>271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67" ht="15" customHeight="1" x14ac:dyDescent="0.25">
      <c r="A7" s="25" t="s">
        <v>272</v>
      </c>
      <c r="B7" s="21"/>
      <c r="C7" s="21">
        <v>28605.1</v>
      </c>
      <c r="D7" s="21">
        <v>270060</v>
      </c>
      <c r="E7" s="21"/>
      <c r="F7" s="21">
        <v>1122212</v>
      </c>
      <c r="G7" s="21">
        <v>297514</v>
      </c>
      <c r="H7" s="21">
        <v>500444.15</v>
      </c>
      <c r="I7" s="21"/>
      <c r="J7" s="21">
        <v>13076</v>
      </c>
      <c r="K7" s="21">
        <v>8516</v>
      </c>
      <c r="L7" s="21">
        <v>650410.69999999995</v>
      </c>
      <c r="M7" s="21"/>
      <c r="N7" s="21"/>
      <c r="O7" s="21"/>
      <c r="P7" s="21">
        <v>2202658</v>
      </c>
      <c r="Q7" s="21"/>
      <c r="R7" s="21"/>
      <c r="S7" s="21">
        <v>121663</v>
      </c>
      <c r="T7" s="21">
        <v>101670</v>
      </c>
      <c r="U7" s="21">
        <v>45632</v>
      </c>
      <c r="V7" s="21"/>
      <c r="W7" s="21">
        <v>3374945.64</v>
      </c>
      <c r="X7" s="38">
        <v>1781676</v>
      </c>
      <c r="Y7" s="21"/>
      <c r="Z7" s="21">
        <v>688957</v>
      </c>
      <c r="AA7" s="21">
        <v>184</v>
      </c>
      <c r="AB7" s="21">
        <v>73511</v>
      </c>
      <c r="AC7" s="21"/>
      <c r="AD7" s="21">
        <v>534327</v>
      </c>
      <c r="AE7" s="21">
        <v>702518</v>
      </c>
      <c r="AF7" s="21"/>
      <c r="AG7" s="21">
        <v>670007</v>
      </c>
      <c r="AH7" s="21">
        <v>2522033.5</v>
      </c>
      <c r="AI7" s="21">
        <v>213047</v>
      </c>
    </row>
    <row r="8" spans="1:67" ht="45" x14ac:dyDescent="0.25">
      <c r="A8" s="25" t="s">
        <v>276</v>
      </c>
      <c r="B8" s="21">
        <v>4931</v>
      </c>
      <c r="C8" s="21">
        <v>18847.37</v>
      </c>
      <c r="D8" s="21">
        <v>476504</v>
      </c>
      <c r="E8" s="21">
        <v>14021</v>
      </c>
      <c r="F8" s="21">
        <v>243222</v>
      </c>
      <c r="G8" s="21">
        <v>75397</v>
      </c>
      <c r="H8" s="21">
        <v>223362.95</v>
      </c>
      <c r="I8" s="21"/>
      <c r="J8" s="21">
        <v>5357</v>
      </c>
      <c r="K8" s="21">
        <v>3033</v>
      </c>
      <c r="L8" s="21">
        <v>33973.24</v>
      </c>
      <c r="M8" s="21"/>
      <c r="N8" s="21">
        <v>40725</v>
      </c>
      <c r="O8" s="21">
        <v>221153</v>
      </c>
      <c r="P8" s="21">
        <v>475425</v>
      </c>
      <c r="Q8" s="21">
        <v>57874.51</v>
      </c>
      <c r="R8" s="21">
        <v>7</v>
      </c>
      <c r="S8" s="21">
        <v>23001</v>
      </c>
      <c r="T8" s="21">
        <v>34761</v>
      </c>
      <c r="U8" s="21"/>
      <c r="V8" s="21"/>
      <c r="W8" s="21">
        <v>384748.6</v>
      </c>
      <c r="X8" s="38">
        <v>178888</v>
      </c>
      <c r="Y8" s="21"/>
      <c r="Z8" s="21">
        <v>162314</v>
      </c>
      <c r="AA8" s="21">
        <v>92</v>
      </c>
      <c r="AB8" s="21">
        <v>13096</v>
      </c>
      <c r="AC8" s="21">
        <v>58565</v>
      </c>
      <c r="AD8" s="21"/>
      <c r="AE8" s="21">
        <v>20222</v>
      </c>
      <c r="AF8" s="21"/>
      <c r="AG8" s="21">
        <v>279000</v>
      </c>
      <c r="AH8" s="21">
        <v>464917.88</v>
      </c>
      <c r="AI8" s="21">
        <v>35540</v>
      </c>
    </row>
    <row r="9" spans="1:67" x14ac:dyDescent="0.25">
      <c r="A9" s="25" t="s">
        <v>277</v>
      </c>
      <c r="B9" s="21">
        <v>7528</v>
      </c>
      <c r="C9" s="21"/>
      <c r="D9" s="21"/>
      <c r="E9" s="21">
        <v>21670</v>
      </c>
      <c r="F9" s="21"/>
      <c r="G9" s="21"/>
      <c r="H9" s="21"/>
      <c r="I9" s="21">
        <v>27993.57</v>
      </c>
      <c r="J9" s="21"/>
      <c r="K9" s="21"/>
      <c r="L9" s="21"/>
      <c r="M9" s="21">
        <v>58850</v>
      </c>
      <c r="N9" s="21">
        <v>86737</v>
      </c>
      <c r="O9" s="21">
        <v>640003.6</v>
      </c>
      <c r="P9" s="21"/>
      <c r="Q9" s="21">
        <v>431131.72</v>
      </c>
      <c r="R9" s="21">
        <v>30223</v>
      </c>
      <c r="S9" s="21"/>
      <c r="T9" s="21"/>
      <c r="U9" s="21"/>
      <c r="V9" s="21">
        <v>2295002.5699999998</v>
      </c>
      <c r="W9" s="21"/>
      <c r="X9" s="21"/>
      <c r="Y9" s="21">
        <v>16465</v>
      </c>
      <c r="Z9" s="21"/>
      <c r="AA9" s="21"/>
      <c r="AB9" s="21"/>
      <c r="AC9" s="21">
        <v>395488</v>
      </c>
      <c r="AD9" s="21"/>
      <c r="AE9" s="21"/>
      <c r="AF9" s="21">
        <v>32813.29</v>
      </c>
      <c r="AG9" s="21"/>
      <c r="AH9" s="21"/>
      <c r="AI9" s="21"/>
    </row>
    <row r="10" spans="1:67" x14ac:dyDescent="0.25">
      <c r="A10" s="25" t="s">
        <v>278</v>
      </c>
      <c r="B10" s="21"/>
      <c r="C10" s="21"/>
      <c r="D10" s="21">
        <v>79743</v>
      </c>
      <c r="E10" s="21">
        <v>86694</v>
      </c>
      <c r="F10" s="21"/>
      <c r="G10" s="21"/>
      <c r="H10" s="21"/>
      <c r="I10" s="21">
        <v>4578.04</v>
      </c>
      <c r="J10" s="21"/>
      <c r="K10" s="21"/>
      <c r="L10" s="21"/>
      <c r="M10" s="21">
        <v>290010</v>
      </c>
      <c r="N10" s="21">
        <v>347</v>
      </c>
      <c r="O10" s="21"/>
      <c r="P10" s="21"/>
      <c r="Q10" s="21">
        <v>203352.29</v>
      </c>
      <c r="R10" s="21"/>
      <c r="S10" s="21"/>
      <c r="T10" s="21"/>
      <c r="U10" s="21"/>
      <c r="V10" s="21">
        <v>510883.48</v>
      </c>
      <c r="W10" s="21"/>
      <c r="X10" s="21"/>
      <c r="Y10" s="21">
        <v>6521</v>
      </c>
      <c r="Z10" s="21"/>
      <c r="AA10" s="21"/>
      <c r="AB10" s="21"/>
      <c r="AC10" s="21"/>
      <c r="AD10" s="21"/>
      <c r="AE10" s="21"/>
      <c r="AF10" s="21">
        <v>242664.23</v>
      </c>
      <c r="AG10" s="21"/>
      <c r="AH10" s="21"/>
      <c r="AI10" s="21">
        <v>65</v>
      </c>
      <c r="BO10" s="139"/>
    </row>
    <row r="11" spans="1:67" s="5" customFormat="1" x14ac:dyDescent="0.25">
      <c r="A11" s="30" t="s">
        <v>279</v>
      </c>
      <c r="B11" s="29"/>
      <c r="C11" s="29">
        <v>404.14</v>
      </c>
      <c r="D11" s="29">
        <v>-134931</v>
      </c>
      <c r="E11" s="29">
        <v>1535</v>
      </c>
      <c r="F11" s="29">
        <v>88185</v>
      </c>
      <c r="G11" s="29">
        <v>11815</v>
      </c>
      <c r="H11" s="29">
        <v>36657.67</v>
      </c>
      <c r="I11" s="29">
        <v>1939.42</v>
      </c>
      <c r="J11" s="29">
        <v>8636</v>
      </c>
      <c r="K11" s="29">
        <v>-4502</v>
      </c>
      <c r="L11" s="29">
        <v>25384.97</v>
      </c>
      <c r="M11" s="29">
        <v>6842</v>
      </c>
      <c r="N11" s="29">
        <v>-23750</v>
      </c>
      <c r="O11" s="29"/>
      <c r="P11" s="29">
        <v>-15375</v>
      </c>
      <c r="Q11" s="29"/>
      <c r="R11" s="29">
        <v>1751</v>
      </c>
      <c r="S11" s="29">
        <v>853</v>
      </c>
      <c r="T11" s="29"/>
      <c r="U11" s="29">
        <v>2929</v>
      </c>
      <c r="V11" s="29">
        <v>355890.42000000039</v>
      </c>
      <c r="W11" s="29">
        <v>-174274.61</v>
      </c>
      <c r="X11" s="29">
        <v>428399</v>
      </c>
      <c r="Y11" s="29">
        <v>1331</v>
      </c>
      <c r="Z11" s="29"/>
      <c r="AA11" s="29"/>
      <c r="AB11" s="29">
        <v>23485</v>
      </c>
      <c r="AC11" s="29">
        <v>-1250</v>
      </c>
      <c r="AD11" s="29">
        <v>17946</v>
      </c>
      <c r="AE11" s="29">
        <v>100448</v>
      </c>
      <c r="AF11" s="29">
        <v>-1792.41</v>
      </c>
      <c r="AG11" s="29">
        <v>23292</v>
      </c>
      <c r="AH11" s="29">
        <v>354605.96</v>
      </c>
      <c r="AI11" s="29">
        <v>45017</v>
      </c>
      <c r="BN11" s="140"/>
      <c r="BO11" s="140"/>
    </row>
    <row r="12" spans="1:67" x14ac:dyDescent="0.25">
      <c r="A12" s="25" t="s">
        <v>283</v>
      </c>
      <c r="B12" s="21">
        <v>11885</v>
      </c>
      <c r="C12" s="21">
        <v>14823.75</v>
      </c>
      <c r="D12" s="21">
        <v>378305</v>
      </c>
      <c r="E12" s="21">
        <v>70792</v>
      </c>
      <c r="F12" s="21">
        <v>477300</v>
      </c>
      <c r="G12" s="21">
        <v>70602</v>
      </c>
      <c r="H12" s="21">
        <v>123270.73</v>
      </c>
      <c r="I12" s="21">
        <v>26276.51</v>
      </c>
      <c r="J12" s="21">
        <v>4713</v>
      </c>
      <c r="K12" s="21">
        <v>18858</v>
      </c>
      <c r="L12" s="21">
        <v>387538.09</v>
      </c>
      <c r="M12" s="21"/>
      <c r="N12" s="21">
        <v>71170</v>
      </c>
      <c r="O12" s="21">
        <v>282943.09999999998</v>
      </c>
      <c r="P12" s="21">
        <v>566727</v>
      </c>
      <c r="Q12" s="21">
        <v>298530.34999999998</v>
      </c>
      <c r="R12" s="21">
        <v>14143</v>
      </c>
      <c r="S12" s="21">
        <v>56177</v>
      </c>
      <c r="T12" s="21">
        <v>41754</v>
      </c>
      <c r="U12" s="21">
        <v>50833</v>
      </c>
      <c r="V12" s="21">
        <v>24751.690000000002</v>
      </c>
      <c r="W12" s="21">
        <v>1894304.67</v>
      </c>
      <c r="X12">
        <v>412026</v>
      </c>
      <c r="Y12" s="21">
        <v>19246</v>
      </c>
      <c r="Z12" s="21">
        <v>211626</v>
      </c>
      <c r="AA12" s="21">
        <v>9982</v>
      </c>
      <c r="AB12" s="21">
        <v>46134</v>
      </c>
      <c r="AC12" s="21">
        <v>119848</v>
      </c>
      <c r="AD12" s="21">
        <v>178436</v>
      </c>
      <c r="AE12" s="21">
        <v>104422</v>
      </c>
      <c r="AF12" s="21">
        <v>190187.95</v>
      </c>
      <c r="AG12" s="21">
        <v>255958</v>
      </c>
      <c r="AH12" s="21">
        <v>386195.16</v>
      </c>
      <c r="AI12" s="21">
        <v>50601</v>
      </c>
      <c r="BN12" s="140"/>
      <c r="BO12" s="140"/>
    </row>
    <row r="13" spans="1:67" x14ac:dyDescent="0.25">
      <c r="A13" s="25" t="s">
        <v>271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>
        <v>73278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67" ht="45" x14ac:dyDescent="0.25">
      <c r="A14" s="25" t="s">
        <v>273</v>
      </c>
      <c r="B14" s="21">
        <v>2968</v>
      </c>
      <c r="C14" s="21"/>
      <c r="D14" s="21">
        <v>1495</v>
      </c>
      <c r="E14" s="21">
        <v>15397</v>
      </c>
      <c r="F14" s="21">
        <v>90641</v>
      </c>
      <c r="G14" s="21">
        <v>13519</v>
      </c>
      <c r="H14" s="21">
        <v>28345.39</v>
      </c>
      <c r="I14" s="21">
        <v>7713.9</v>
      </c>
      <c r="J14" s="21">
        <v>373</v>
      </c>
      <c r="K14" s="21">
        <v>2378</v>
      </c>
      <c r="L14" s="21">
        <v>19952.54</v>
      </c>
      <c r="M14" s="21">
        <v>19577</v>
      </c>
      <c r="N14" s="21"/>
      <c r="O14" s="21">
        <v>61246.6</v>
      </c>
      <c r="P14" s="21">
        <v>25590</v>
      </c>
      <c r="Q14" s="21">
        <v>89357.88</v>
      </c>
      <c r="R14" s="21">
        <v>5727</v>
      </c>
      <c r="S14" s="21">
        <v>11726</v>
      </c>
      <c r="T14" s="21">
        <v>17618</v>
      </c>
      <c r="U14" s="21">
        <v>27937</v>
      </c>
      <c r="V14" s="21"/>
      <c r="W14" s="21">
        <v>370531.94</v>
      </c>
      <c r="X14">
        <v>251801</v>
      </c>
      <c r="Y14" s="21">
        <v>1404</v>
      </c>
      <c r="Z14" s="21">
        <v>42048</v>
      </c>
      <c r="AA14" s="21">
        <v>2328</v>
      </c>
      <c r="AB14" s="21">
        <v>26369</v>
      </c>
      <c r="AC14" s="21"/>
      <c r="AD14" s="21">
        <v>20807</v>
      </c>
      <c r="AE14" s="21">
        <v>28443</v>
      </c>
      <c r="AF14" s="21">
        <v>22802.46</v>
      </c>
      <c r="AG14" s="21">
        <v>68035</v>
      </c>
      <c r="AH14" s="21">
        <v>53732.12</v>
      </c>
      <c r="AI14" s="21">
        <v>50601</v>
      </c>
    </row>
    <row r="15" spans="1:67" s="5" customFormat="1" x14ac:dyDescent="0.25">
      <c r="A15" s="30" t="s">
        <v>280</v>
      </c>
      <c r="B15" s="29">
        <v>8917</v>
      </c>
      <c r="C15" s="29">
        <v>14823.75</v>
      </c>
      <c r="D15" s="29">
        <v>376810</v>
      </c>
      <c r="E15" s="29">
        <v>55395</v>
      </c>
      <c r="F15" s="29">
        <v>386659</v>
      </c>
      <c r="G15" s="29">
        <v>57083</v>
      </c>
      <c r="H15" s="29">
        <v>94925.34</v>
      </c>
      <c r="I15" s="29">
        <v>18562.599999999999</v>
      </c>
      <c r="J15" s="29">
        <v>4340</v>
      </c>
      <c r="K15" s="29">
        <v>16480</v>
      </c>
      <c r="L15" s="29">
        <v>367585.55</v>
      </c>
      <c r="M15" s="29">
        <v>53701</v>
      </c>
      <c r="N15" s="29">
        <v>71170</v>
      </c>
      <c r="O15" s="29">
        <v>221696.5</v>
      </c>
      <c r="P15" s="29">
        <v>541137</v>
      </c>
      <c r="Q15" s="29">
        <v>209172.48000000001</v>
      </c>
      <c r="R15" s="29">
        <v>8415</v>
      </c>
      <c r="S15" s="29">
        <v>44451</v>
      </c>
      <c r="T15" s="29">
        <v>24136</v>
      </c>
      <c r="U15" s="29">
        <v>22896</v>
      </c>
      <c r="V15" s="29">
        <v>24751.690000000002</v>
      </c>
      <c r="W15" s="29">
        <v>1523772.73</v>
      </c>
      <c r="X15" s="29">
        <v>160225</v>
      </c>
      <c r="Y15" s="29">
        <v>17842</v>
      </c>
      <c r="Z15" s="29">
        <v>169578</v>
      </c>
      <c r="AA15" s="29">
        <v>7654</v>
      </c>
      <c r="AB15" s="29">
        <v>19765</v>
      </c>
      <c r="AC15" s="29">
        <v>119848</v>
      </c>
      <c r="AD15" s="29">
        <v>157629</v>
      </c>
      <c r="AE15" s="29">
        <v>75979</v>
      </c>
      <c r="AF15" s="29">
        <v>167385.49</v>
      </c>
      <c r="AG15" s="29">
        <v>187923</v>
      </c>
      <c r="AH15" s="29">
        <v>332463.03999999998</v>
      </c>
      <c r="AI15" s="29">
        <v>42777</v>
      </c>
      <c r="BN15" s="140"/>
      <c r="BO15" s="140"/>
    </row>
    <row r="16" spans="1:67" s="15" customFormat="1" x14ac:dyDescent="0.25">
      <c r="A16" s="23" t="s">
        <v>281</v>
      </c>
      <c r="B16" s="24">
        <v>8917</v>
      </c>
      <c r="C16" s="24">
        <v>15227.89</v>
      </c>
      <c r="D16" s="24">
        <v>241878</v>
      </c>
      <c r="E16" s="24">
        <v>56930</v>
      </c>
      <c r="F16" s="24">
        <v>474844</v>
      </c>
      <c r="G16" s="24">
        <v>68898</v>
      </c>
      <c r="H16" s="24">
        <v>131583.01</v>
      </c>
      <c r="I16" s="24">
        <v>20502.02</v>
      </c>
      <c r="J16" s="24">
        <v>12976</v>
      </c>
      <c r="K16" s="24">
        <v>11978</v>
      </c>
      <c r="L16" s="24">
        <v>392970.52</v>
      </c>
      <c r="M16" s="24">
        <v>60543</v>
      </c>
      <c r="N16" s="24">
        <v>47420</v>
      </c>
      <c r="O16" s="24">
        <v>221696.5</v>
      </c>
      <c r="P16" s="24">
        <v>525762</v>
      </c>
      <c r="Q16" s="24">
        <v>209172.48000000001</v>
      </c>
      <c r="R16" s="24">
        <v>10166</v>
      </c>
      <c r="S16" s="24">
        <v>45304</v>
      </c>
      <c r="T16" s="24">
        <v>24136</v>
      </c>
      <c r="U16" s="24">
        <v>25825</v>
      </c>
      <c r="V16" s="24">
        <v>380642.11000000039</v>
      </c>
      <c r="W16" s="24">
        <v>1349498.12</v>
      </c>
      <c r="X16" s="24">
        <v>588624</v>
      </c>
      <c r="Y16" s="24">
        <v>19174</v>
      </c>
      <c r="Z16" s="24">
        <v>169578</v>
      </c>
      <c r="AA16" s="24">
        <v>7654</v>
      </c>
      <c r="AB16" s="24">
        <v>43250</v>
      </c>
      <c r="AC16" s="24">
        <v>118598</v>
      </c>
      <c r="AD16" s="24">
        <v>175575</v>
      </c>
      <c r="AE16" s="24">
        <v>176427</v>
      </c>
      <c r="AF16" s="24">
        <v>165593.07999999999</v>
      </c>
      <c r="AG16" s="24">
        <v>211215</v>
      </c>
      <c r="AH16" s="24">
        <v>687069</v>
      </c>
      <c r="AI16" s="24">
        <v>87794</v>
      </c>
      <c r="BN16" s="140"/>
      <c r="BO16" s="140"/>
    </row>
    <row r="17" spans="1:67" s="15" customFormat="1" x14ac:dyDescent="0.25">
      <c r="A17" s="23" t="s">
        <v>274</v>
      </c>
      <c r="B17" s="24">
        <v>5000</v>
      </c>
      <c r="C17" s="24">
        <v>9377.26</v>
      </c>
      <c r="D17" s="24">
        <v>113059</v>
      </c>
      <c r="E17" s="24">
        <v>34677</v>
      </c>
      <c r="F17" s="24">
        <v>186170</v>
      </c>
      <c r="G17" s="24">
        <v>39248</v>
      </c>
      <c r="H17" s="24">
        <v>84739.98</v>
      </c>
      <c r="I17" s="24">
        <v>9182.9599999999991</v>
      </c>
      <c r="J17" s="24">
        <v>5000</v>
      </c>
      <c r="K17" s="24">
        <v>5000</v>
      </c>
      <c r="L17" s="24">
        <v>37778.26</v>
      </c>
      <c r="M17" s="24">
        <v>39264</v>
      </c>
      <c r="N17" s="24">
        <v>20896</v>
      </c>
      <c r="O17" s="24">
        <v>126587</v>
      </c>
      <c r="P17" s="24">
        <v>234465</v>
      </c>
      <c r="Q17" s="24">
        <v>125724.23</v>
      </c>
      <c r="R17" s="24">
        <v>5452</v>
      </c>
      <c r="S17" s="24">
        <v>21043</v>
      </c>
      <c r="T17" s="24">
        <v>15263</v>
      </c>
      <c r="U17" s="24">
        <v>14628</v>
      </c>
      <c r="V17" s="24">
        <v>365730</v>
      </c>
      <c r="W17" s="24">
        <v>633195.94999999995</v>
      </c>
      <c r="X17" s="24">
        <v>374378</v>
      </c>
      <c r="Y17" s="24">
        <v>5000</v>
      </c>
      <c r="Z17" s="24">
        <v>106151</v>
      </c>
      <c r="AA17" s="24">
        <v>5000</v>
      </c>
      <c r="AB17" s="24">
        <v>27649</v>
      </c>
      <c r="AC17" s="24">
        <v>61345</v>
      </c>
      <c r="AD17" s="24">
        <v>75063</v>
      </c>
      <c r="AE17" s="24">
        <v>50818</v>
      </c>
      <c r="AF17" s="24">
        <v>82574.19</v>
      </c>
      <c r="AG17" s="24">
        <v>129626</v>
      </c>
      <c r="AH17" s="24">
        <v>453264.63</v>
      </c>
      <c r="AI17" s="24">
        <v>39257</v>
      </c>
      <c r="BN17" s="140"/>
      <c r="BO17" s="140"/>
    </row>
    <row r="18" spans="1:67" s="71" customFormat="1" x14ac:dyDescent="0.25">
      <c r="A18" s="72" t="s">
        <v>275</v>
      </c>
      <c r="B18" s="73">
        <v>1.78</v>
      </c>
      <c r="C18" s="73">
        <v>1.62</v>
      </c>
      <c r="D18" s="73">
        <v>2.14</v>
      </c>
      <c r="E18" s="73">
        <v>1.64</v>
      </c>
      <c r="F18" s="74">
        <v>2.5499999999999998</v>
      </c>
      <c r="G18" s="73">
        <v>1.76</v>
      </c>
      <c r="H18" s="73">
        <v>1.5529999999999999</v>
      </c>
      <c r="I18" s="75">
        <v>2.2326000000000001</v>
      </c>
      <c r="J18" s="73">
        <v>2.6</v>
      </c>
      <c r="K18" s="73">
        <v>2.4</v>
      </c>
      <c r="L18" s="73">
        <v>10.4</v>
      </c>
      <c r="M18" s="73">
        <v>1.54</v>
      </c>
      <c r="N18" s="73">
        <v>2.27</v>
      </c>
      <c r="O18" s="73">
        <v>1.75</v>
      </c>
      <c r="P18" s="73">
        <v>2.2400000000000002</v>
      </c>
      <c r="Q18" s="73">
        <v>1.66</v>
      </c>
      <c r="R18" s="73">
        <v>1.86</v>
      </c>
      <c r="S18" s="73">
        <v>2.15</v>
      </c>
      <c r="T18" s="73">
        <v>1.58</v>
      </c>
      <c r="U18" s="73">
        <v>1.77</v>
      </c>
      <c r="V18" s="73">
        <v>1.0407735487928265</v>
      </c>
      <c r="W18" s="73">
        <v>2.13</v>
      </c>
      <c r="X18" s="73">
        <v>1.57</v>
      </c>
      <c r="Y18" s="73">
        <v>3.83</v>
      </c>
      <c r="Z18" s="73">
        <v>1.6</v>
      </c>
      <c r="AA18" s="73">
        <v>1.53</v>
      </c>
      <c r="AB18" s="73">
        <v>1.56</v>
      </c>
      <c r="AC18" s="73">
        <v>1.93</v>
      </c>
      <c r="AD18" s="73">
        <v>2.34</v>
      </c>
      <c r="AE18" s="73">
        <v>3.47</v>
      </c>
      <c r="AF18" s="73">
        <v>2.0099999999999998</v>
      </c>
      <c r="AG18" s="73">
        <v>1.63</v>
      </c>
      <c r="AH18" s="73">
        <v>1.52</v>
      </c>
      <c r="AI18" s="73">
        <v>2.2400000000000002</v>
      </c>
      <c r="BN18" s="140"/>
      <c r="BO18" s="140"/>
    </row>
    <row r="19" spans="1:67" x14ac:dyDescent="0.25">
      <c r="A19" s="6"/>
      <c r="BN19" s="140"/>
      <c r="BO19" s="140"/>
    </row>
    <row r="20" spans="1:67" x14ac:dyDescent="0.25">
      <c r="A20" s="6"/>
      <c r="BN20" s="140"/>
      <c r="BO20" s="140"/>
    </row>
    <row r="21" spans="1:67" x14ac:dyDescent="0.25">
      <c r="A21" s="6"/>
      <c r="BN21" s="140"/>
      <c r="BO21" s="140"/>
    </row>
    <row r="22" spans="1:67" x14ac:dyDescent="0.25">
      <c r="A22" s="6"/>
      <c r="BN22" s="140"/>
      <c r="BO22" s="140"/>
    </row>
    <row r="23" spans="1:67" x14ac:dyDescent="0.25">
      <c r="A23" s="6"/>
      <c r="BO23" s="140"/>
    </row>
    <row r="24" spans="1:67" x14ac:dyDescent="0.25">
      <c r="A24" s="6"/>
      <c r="BO24" s="140"/>
    </row>
    <row r="25" spans="1:67" x14ac:dyDescent="0.25">
      <c r="A25" s="6"/>
      <c r="BO25" s="140"/>
    </row>
    <row r="26" spans="1:67" x14ac:dyDescent="0.25">
      <c r="A26" s="6"/>
    </row>
    <row r="27" spans="1:67" x14ac:dyDescent="0.25">
      <c r="A27" s="6"/>
    </row>
    <row r="28" spans="1:67" x14ac:dyDescent="0.25">
      <c r="A28" s="6"/>
    </row>
    <row r="29" spans="1:67" x14ac:dyDescent="0.25">
      <c r="A29" s="6"/>
    </row>
    <row r="30" spans="1:67" x14ac:dyDescent="0.25">
      <c r="A30" s="6"/>
    </row>
    <row r="31" spans="1:67" x14ac:dyDescent="0.25">
      <c r="A31" s="6"/>
    </row>
    <row r="32" spans="1:67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5" x14ac:dyDescent="0.25"/>
  <cols>
    <col min="1" max="1" width="31" style="4" customWidth="1"/>
    <col min="2" max="141" width="14.140625" style="4" customWidth="1"/>
    <col min="142" max="16384" width="9.140625" style="4"/>
  </cols>
  <sheetData>
    <row r="1" spans="1:141" ht="18.75" x14ac:dyDescent="0.3">
      <c r="A1" s="69" t="s">
        <v>270</v>
      </c>
    </row>
    <row r="2" spans="1:141" x14ac:dyDescent="0.25">
      <c r="A2" s="4" t="s">
        <v>268</v>
      </c>
    </row>
    <row r="3" spans="1:141" x14ac:dyDescent="0.25">
      <c r="A3" s="23" t="s">
        <v>0</v>
      </c>
      <c r="B3" s="200" t="s">
        <v>1</v>
      </c>
      <c r="C3" s="200"/>
      <c r="D3" s="200"/>
      <c r="E3" s="200"/>
      <c r="F3" s="200" t="s">
        <v>2</v>
      </c>
      <c r="G3" s="200"/>
      <c r="H3" s="200"/>
      <c r="I3" s="200"/>
      <c r="J3" s="200" t="s">
        <v>3</v>
      </c>
      <c r="K3" s="200"/>
      <c r="L3" s="200"/>
      <c r="M3" s="200"/>
      <c r="N3" s="200" t="s">
        <v>4</v>
      </c>
      <c r="O3" s="200"/>
      <c r="P3" s="200"/>
      <c r="Q3" s="200"/>
      <c r="R3" s="200" t="s">
        <v>5</v>
      </c>
      <c r="S3" s="200"/>
      <c r="T3" s="200"/>
      <c r="U3" s="200"/>
      <c r="V3" s="200" t="s">
        <v>6</v>
      </c>
      <c r="W3" s="200"/>
      <c r="X3" s="200"/>
      <c r="Y3" s="200"/>
      <c r="Z3" s="200" t="s">
        <v>7</v>
      </c>
      <c r="AA3" s="200"/>
      <c r="AB3" s="200"/>
      <c r="AC3" s="200"/>
      <c r="AD3" s="200" t="s">
        <v>8</v>
      </c>
      <c r="AE3" s="200"/>
      <c r="AF3" s="200"/>
      <c r="AG3" s="200"/>
      <c r="AH3" s="200" t="s">
        <v>9</v>
      </c>
      <c r="AI3" s="200"/>
      <c r="AJ3" s="200"/>
      <c r="AK3" s="200"/>
      <c r="AL3" s="200" t="s">
        <v>10</v>
      </c>
      <c r="AM3" s="200"/>
      <c r="AN3" s="200"/>
      <c r="AO3" s="200"/>
      <c r="AP3" s="200" t="s">
        <v>11</v>
      </c>
      <c r="AQ3" s="200"/>
      <c r="AR3" s="200"/>
      <c r="AS3" s="200"/>
      <c r="AT3" s="200" t="s">
        <v>12</v>
      </c>
      <c r="AU3" s="200"/>
      <c r="AV3" s="200"/>
      <c r="AW3" s="200"/>
      <c r="AX3" s="200" t="s">
        <v>13</v>
      </c>
      <c r="AY3" s="200"/>
      <c r="AZ3" s="200"/>
      <c r="BA3" s="200"/>
      <c r="BB3" s="200" t="s">
        <v>14</v>
      </c>
      <c r="BC3" s="200"/>
      <c r="BD3" s="200"/>
      <c r="BE3" s="200"/>
      <c r="BF3" s="200" t="s">
        <v>15</v>
      </c>
      <c r="BG3" s="200"/>
      <c r="BH3" s="200"/>
      <c r="BI3" s="200"/>
      <c r="BJ3" s="200" t="s">
        <v>16</v>
      </c>
      <c r="BK3" s="200"/>
      <c r="BL3" s="200"/>
      <c r="BM3" s="200"/>
      <c r="BN3" s="200" t="s">
        <v>17</v>
      </c>
      <c r="BO3" s="200"/>
      <c r="BP3" s="200"/>
      <c r="BQ3" s="200"/>
      <c r="BR3" s="200" t="s">
        <v>18</v>
      </c>
      <c r="BS3" s="200"/>
      <c r="BT3" s="200"/>
      <c r="BU3" s="200"/>
      <c r="BV3" s="200" t="s">
        <v>19</v>
      </c>
      <c r="BW3" s="200"/>
      <c r="BX3" s="200"/>
      <c r="BY3" s="200"/>
      <c r="BZ3" s="200" t="s">
        <v>20</v>
      </c>
      <c r="CA3" s="200"/>
      <c r="CB3" s="200"/>
      <c r="CC3" s="200"/>
      <c r="CD3" s="200" t="s">
        <v>21</v>
      </c>
      <c r="CE3" s="200"/>
      <c r="CF3" s="200"/>
      <c r="CG3" s="200"/>
      <c r="CH3" s="200" t="s">
        <v>147</v>
      </c>
      <c r="CI3" s="200"/>
      <c r="CJ3" s="200"/>
      <c r="CK3" s="200"/>
      <c r="CL3" s="200" t="s">
        <v>148</v>
      </c>
      <c r="CM3" s="200"/>
      <c r="CN3" s="200"/>
      <c r="CO3" s="200"/>
      <c r="CP3" s="200" t="s">
        <v>22</v>
      </c>
      <c r="CQ3" s="200"/>
      <c r="CR3" s="200"/>
      <c r="CS3" s="200"/>
      <c r="CT3" s="200" t="s">
        <v>23</v>
      </c>
      <c r="CU3" s="200"/>
      <c r="CV3" s="200"/>
      <c r="CW3" s="200"/>
      <c r="CX3" s="200" t="s">
        <v>332</v>
      </c>
      <c r="CY3" s="200"/>
      <c r="CZ3" s="200"/>
      <c r="DA3" s="200"/>
      <c r="DB3" s="200" t="s">
        <v>24</v>
      </c>
      <c r="DC3" s="200"/>
      <c r="DD3" s="200"/>
      <c r="DE3" s="200"/>
      <c r="DF3" s="200" t="s">
        <v>25</v>
      </c>
      <c r="DG3" s="200"/>
      <c r="DH3" s="200"/>
      <c r="DI3" s="200"/>
      <c r="DJ3" s="200" t="s">
        <v>26</v>
      </c>
      <c r="DK3" s="200"/>
      <c r="DL3" s="200"/>
      <c r="DM3" s="200"/>
      <c r="DN3" s="200" t="s">
        <v>27</v>
      </c>
      <c r="DO3" s="200"/>
      <c r="DP3" s="200"/>
      <c r="DQ3" s="200"/>
      <c r="DR3" s="200" t="s">
        <v>28</v>
      </c>
      <c r="DS3" s="200"/>
      <c r="DT3" s="200"/>
      <c r="DU3" s="200"/>
      <c r="DV3" s="200" t="s">
        <v>29</v>
      </c>
      <c r="DW3" s="200"/>
      <c r="DX3" s="200"/>
      <c r="DY3" s="200"/>
      <c r="DZ3" s="200" t="s">
        <v>30</v>
      </c>
      <c r="EA3" s="200"/>
      <c r="EB3" s="200"/>
      <c r="EC3" s="200"/>
      <c r="ED3" s="200" t="s">
        <v>31</v>
      </c>
      <c r="EE3" s="200"/>
      <c r="EF3" s="200"/>
      <c r="EG3" s="200"/>
      <c r="EH3" s="200" t="s">
        <v>250</v>
      </c>
      <c r="EI3" s="200"/>
      <c r="EJ3" s="200"/>
      <c r="EK3" s="200"/>
    </row>
    <row r="4" spans="1:141" x14ac:dyDescent="0.25">
      <c r="A4" s="23"/>
      <c r="B4" s="213" t="s">
        <v>321</v>
      </c>
      <c r="C4" s="213"/>
      <c r="D4" s="213" t="s">
        <v>322</v>
      </c>
      <c r="E4" s="213"/>
      <c r="F4" s="213" t="s">
        <v>321</v>
      </c>
      <c r="G4" s="213"/>
      <c r="H4" s="213" t="s">
        <v>322</v>
      </c>
      <c r="I4" s="213"/>
      <c r="J4" s="213" t="s">
        <v>321</v>
      </c>
      <c r="K4" s="213"/>
      <c r="L4" s="213" t="s">
        <v>322</v>
      </c>
      <c r="M4" s="213"/>
      <c r="N4" s="213" t="s">
        <v>321</v>
      </c>
      <c r="O4" s="213"/>
      <c r="P4" s="213" t="s">
        <v>322</v>
      </c>
      <c r="Q4" s="213"/>
      <c r="R4" s="213" t="s">
        <v>321</v>
      </c>
      <c r="S4" s="213"/>
      <c r="T4" s="213" t="s">
        <v>322</v>
      </c>
      <c r="U4" s="213"/>
      <c r="V4" s="213" t="s">
        <v>321</v>
      </c>
      <c r="W4" s="213"/>
      <c r="X4" s="213" t="s">
        <v>322</v>
      </c>
      <c r="Y4" s="213"/>
      <c r="Z4" s="213" t="s">
        <v>321</v>
      </c>
      <c r="AA4" s="213"/>
      <c r="AB4" s="213" t="s">
        <v>322</v>
      </c>
      <c r="AC4" s="213"/>
      <c r="AD4" s="213" t="s">
        <v>321</v>
      </c>
      <c r="AE4" s="213"/>
      <c r="AF4" s="213" t="s">
        <v>322</v>
      </c>
      <c r="AG4" s="213"/>
      <c r="AH4" s="213" t="s">
        <v>321</v>
      </c>
      <c r="AI4" s="213"/>
      <c r="AJ4" s="213" t="s">
        <v>322</v>
      </c>
      <c r="AK4" s="213"/>
      <c r="AL4" s="213" t="s">
        <v>321</v>
      </c>
      <c r="AM4" s="213"/>
      <c r="AN4" s="213" t="s">
        <v>322</v>
      </c>
      <c r="AO4" s="213"/>
      <c r="AP4" s="213" t="s">
        <v>321</v>
      </c>
      <c r="AQ4" s="213"/>
      <c r="AR4" s="213" t="s">
        <v>322</v>
      </c>
      <c r="AS4" s="213"/>
      <c r="AT4" s="213" t="s">
        <v>321</v>
      </c>
      <c r="AU4" s="213"/>
      <c r="AV4" s="213" t="s">
        <v>322</v>
      </c>
      <c r="AW4" s="213"/>
      <c r="AX4" s="213" t="s">
        <v>321</v>
      </c>
      <c r="AY4" s="213"/>
      <c r="AZ4" s="213" t="s">
        <v>322</v>
      </c>
      <c r="BA4" s="213"/>
      <c r="BB4" s="213" t="s">
        <v>321</v>
      </c>
      <c r="BC4" s="213"/>
      <c r="BD4" s="213" t="s">
        <v>322</v>
      </c>
      <c r="BE4" s="213"/>
      <c r="BF4" s="213" t="s">
        <v>321</v>
      </c>
      <c r="BG4" s="213"/>
      <c r="BH4" s="213" t="s">
        <v>322</v>
      </c>
      <c r="BI4" s="213"/>
      <c r="BJ4" s="213" t="s">
        <v>321</v>
      </c>
      <c r="BK4" s="213"/>
      <c r="BL4" s="213" t="s">
        <v>322</v>
      </c>
      <c r="BM4" s="213"/>
      <c r="BN4" s="213" t="s">
        <v>321</v>
      </c>
      <c r="BO4" s="213"/>
      <c r="BP4" s="213" t="s">
        <v>322</v>
      </c>
      <c r="BQ4" s="213"/>
      <c r="BR4" s="213" t="s">
        <v>321</v>
      </c>
      <c r="BS4" s="213"/>
      <c r="BT4" s="213" t="s">
        <v>322</v>
      </c>
      <c r="BU4" s="213"/>
      <c r="BV4" s="213" t="s">
        <v>321</v>
      </c>
      <c r="BW4" s="213"/>
      <c r="BX4" s="213" t="s">
        <v>322</v>
      </c>
      <c r="BY4" s="213"/>
      <c r="BZ4" s="213" t="s">
        <v>321</v>
      </c>
      <c r="CA4" s="213"/>
      <c r="CB4" s="213" t="s">
        <v>322</v>
      </c>
      <c r="CC4" s="213"/>
      <c r="CD4" s="213" t="s">
        <v>321</v>
      </c>
      <c r="CE4" s="213"/>
      <c r="CF4" s="213" t="s">
        <v>322</v>
      </c>
      <c r="CG4" s="213"/>
      <c r="CH4" s="213" t="s">
        <v>321</v>
      </c>
      <c r="CI4" s="213"/>
      <c r="CJ4" s="213" t="s">
        <v>322</v>
      </c>
      <c r="CK4" s="213"/>
      <c r="CL4" s="213" t="s">
        <v>321</v>
      </c>
      <c r="CM4" s="213"/>
      <c r="CN4" s="213" t="s">
        <v>322</v>
      </c>
      <c r="CO4" s="213"/>
      <c r="CP4" s="213" t="s">
        <v>321</v>
      </c>
      <c r="CQ4" s="213"/>
      <c r="CR4" s="213" t="s">
        <v>322</v>
      </c>
      <c r="CS4" s="213"/>
      <c r="CT4" s="213" t="s">
        <v>321</v>
      </c>
      <c r="CU4" s="213"/>
      <c r="CV4" s="213" t="s">
        <v>322</v>
      </c>
      <c r="CW4" s="213"/>
      <c r="CX4" s="213" t="s">
        <v>321</v>
      </c>
      <c r="CY4" s="213"/>
      <c r="CZ4" s="213" t="s">
        <v>322</v>
      </c>
      <c r="DA4" s="213"/>
      <c r="DB4" s="213" t="s">
        <v>321</v>
      </c>
      <c r="DC4" s="213"/>
      <c r="DD4" s="213" t="s">
        <v>322</v>
      </c>
      <c r="DE4" s="213"/>
      <c r="DF4" s="213" t="s">
        <v>321</v>
      </c>
      <c r="DG4" s="213"/>
      <c r="DH4" s="213" t="s">
        <v>322</v>
      </c>
      <c r="DI4" s="213"/>
      <c r="DJ4" s="213" t="s">
        <v>321</v>
      </c>
      <c r="DK4" s="213"/>
      <c r="DL4" s="213" t="s">
        <v>322</v>
      </c>
      <c r="DM4" s="213"/>
      <c r="DN4" s="213" t="s">
        <v>321</v>
      </c>
      <c r="DO4" s="213"/>
      <c r="DP4" s="213" t="s">
        <v>322</v>
      </c>
      <c r="DQ4" s="213"/>
      <c r="DR4" s="213" t="s">
        <v>321</v>
      </c>
      <c r="DS4" s="213"/>
      <c r="DT4" s="213" t="s">
        <v>322</v>
      </c>
      <c r="DU4" s="213"/>
      <c r="DV4" s="213" t="s">
        <v>321</v>
      </c>
      <c r="DW4" s="213"/>
      <c r="DX4" s="213" t="s">
        <v>322</v>
      </c>
      <c r="DY4" s="213"/>
      <c r="DZ4" s="213" t="s">
        <v>321</v>
      </c>
      <c r="EA4" s="213"/>
      <c r="EB4" s="213" t="s">
        <v>322</v>
      </c>
      <c r="EC4" s="213"/>
      <c r="ED4" s="213" t="s">
        <v>321</v>
      </c>
      <c r="EE4" s="213"/>
      <c r="EF4" s="213" t="s">
        <v>322</v>
      </c>
      <c r="EG4" s="213"/>
      <c r="EH4" s="213" t="s">
        <v>321</v>
      </c>
      <c r="EI4" s="213"/>
      <c r="EJ4" s="213" t="s">
        <v>322</v>
      </c>
      <c r="EK4" s="213"/>
    </row>
    <row r="5" spans="1:141" x14ac:dyDescent="0.25">
      <c r="A5" s="43"/>
      <c r="B5" s="43" t="s">
        <v>256</v>
      </c>
      <c r="C5" s="43" t="s">
        <v>257</v>
      </c>
      <c r="D5" s="43" t="s">
        <v>256</v>
      </c>
      <c r="E5" s="43" t="s">
        <v>257</v>
      </c>
      <c r="F5" s="43" t="s">
        <v>256</v>
      </c>
      <c r="G5" s="43" t="s">
        <v>257</v>
      </c>
      <c r="H5" s="43" t="s">
        <v>256</v>
      </c>
      <c r="I5" s="43" t="s">
        <v>257</v>
      </c>
      <c r="J5" s="43" t="s">
        <v>256</v>
      </c>
      <c r="K5" s="43" t="s">
        <v>257</v>
      </c>
      <c r="L5" s="43" t="s">
        <v>256</v>
      </c>
      <c r="M5" s="43" t="s">
        <v>257</v>
      </c>
      <c r="N5" s="43" t="s">
        <v>256</v>
      </c>
      <c r="O5" s="43" t="s">
        <v>257</v>
      </c>
      <c r="P5" s="43" t="s">
        <v>256</v>
      </c>
      <c r="Q5" s="43" t="s">
        <v>257</v>
      </c>
      <c r="R5" s="43" t="s">
        <v>256</v>
      </c>
      <c r="S5" s="43" t="s">
        <v>257</v>
      </c>
      <c r="T5" s="43" t="s">
        <v>256</v>
      </c>
      <c r="U5" s="43" t="s">
        <v>257</v>
      </c>
      <c r="V5" s="43" t="s">
        <v>256</v>
      </c>
      <c r="W5" s="43" t="s">
        <v>257</v>
      </c>
      <c r="X5" s="43" t="s">
        <v>256</v>
      </c>
      <c r="Y5" s="43" t="s">
        <v>257</v>
      </c>
      <c r="Z5" s="43" t="s">
        <v>256</v>
      </c>
      <c r="AA5" s="43" t="s">
        <v>257</v>
      </c>
      <c r="AB5" s="43" t="s">
        <v>256</v>
      </c>
      <c r="AC5" s="43" t="s">
        <v>257</v>
      </c>
      <c r="AD5" s="43" t="s">
        <v>256</v>
      </c>
      <c r="AE5" s="43" t="s">
        <v>257</v>
      </c>
      <c r="AF5" s="43" t="s">
        <v>256</v>
      </c>
      <c r="AG5" s="43" t="s">
        <v>257</v>
      </c>
      <c r="AH5" s="43" t="s">
        <v>256</v>
      </c>
      <c r="AI5" s="43" t="s">
        <v>257</v>
      </c>
      <c r="AJ5" s="43" t="s">
        <v>256</v>
      </c>
      <c r="AK5" s="43" t="s">
        <v>257</v>
      </c>
      <c r="AL5" s="43" t="s">
        <v>256</v>
      </c>
      <c r="AM5" s="43" t="s">
        <v>257</v>
      </c>
      <c r="AN5" s="43" t="s">
        <v>256</v>
      </c>
      <c r="AO5" s="43" t="s">
        <v>257</v>
      </c>
      <c r="AP5" s="43" t="s">
        <v>256</v>
      </c>
      <c r="AQ5" s="43" t="s">
        <v>257</v>
      </c>
      <c r="AR5" s="43" t="s">
        <v>256</v>
      </c>
      <c r="AS5" s="43" t="s">
        <v>257</v>
      </c>
      <c r="AT5" s="43" t="s">
        <v>256</v>
      </c>
      <c r="AU5" s="43" t="s">
        <v>257</v>
      </c>
      <c r="AV5" s="43" t="s">
        <v>256</v>
      </c>
      <c r="AW5" s="43" t="s">
        <v>257</v>
      </c>
      <c r="AX5" s="43" t="s">
        <v>256</v>
      </c>
      <c r="AY5" s="43" t="s">
        <v>257</v>
      </c>
      <c r="AZ5" s="43" t="s">
        <v>256</v>
      </c>
      <c r="BA5" s="43" t="s">
        <v>257</v>
      </c>
      <c r="BB5" s="43" t="s">
        <v>256</v>
      </c>
      <c r="BC5" s="43" t="s">
        <v>257</v>
      </c>
      <c r="BD5" s="43" t="s">
        <v>256</v>
      </c>
      <c r="BE5" s="43" t="s">
        <v>257</v>
      </c>
      <c r="BF5" s="43" t="s">
        <v>256</v>
      </c>
      <c r="BG5" s="43" t="s">
        <v>257</v>
      </c>
      <c r="BH5" s="43" t="s">
        <v>256</v>
      </c>
      <c r="BI5" s="43" t="s">
        <v>257</v>
      </c>
      <c r="BJ5" s="43" t="s">
        <v>256</v>
      </c>
      <c r="BK5" s="43" t="s">
        <v>257</v>
      </c>
      <c r="BL5" s="43" t="s">
        <v>256</v>
      </c>
      <c r="BM5" s="43" t="s">
        <v>257</v>
      </c>
      <c r="BN5" s="43" t="s">
        <v>256</v>
      </c>
      <c r="BO5" s="43" t="s">
        <v>257</v>
      </c>
      <c r="BP5" s="43" t="s">
        <v>256</v>
      </c>
      <c r="BQ5" s="43" t="s">
        <v>257</v>
      </c>
      <c r="BR5" s="43" t="s">
        <v>256</v>
      </c>
      <c r="BS5" s="43" t="s">
        <v>257</v>
      </c>
      <c r="BT5" s="43" t="s">
        <v>256</v>
      </c>
      <c r="BU5" s="43" t="s">
        <v>257</v>
      </c>
      <c r="BV5" s="43" t="s">
        <v>256</v>
      </c>
      <c r="BW5" s="43" t="s">
        <v>257</v>
      </c>
      <c r="BX5" s="43" t="s">
        <v>256</v>
      </c>
      <c r="BY5" s="43" t="s">
        <v>257</v>
      </c>
      <c r="BZ5" s="43" t="s">
        <v>256</v>
      </c>
      <c r="CA5" s="43" t="s">
        <v>257</v>
      </c>
      <c r="CB5" s="43" t="s">
        <v>256</v>
      </c>
      <c r="CC5" s="43" t="s">
        <v>257</v>
      </c>
      <c r="CD5" s="43" t="s">
        <v>256</v>
      </c>
      <c r="CE5" s="43" t="s">
        <v>257</v>
      </c>
      <c r="CF5" s="43" t="s">
        <v>256</v>
      </c>
      <c r="CG5" s="43" t="s">
        <v>257</v>
      </c>
      <c r="CH5" s="43" t="s">
        <v>256</v>
      </c>
      <c r="CI5" s="43" t="s">
        <v>257</v>
      </c>
      <c r="CJ5" s="43" t="s">
        <v>256</v>
      </c>
      <c r="CK5" s="43" t="s">
        <v>257</v>
      </c>
      <c r="CL5" s="43" t="s">
        <v>256</v>
      </c>
      <c r="CM5" s="43" t="s">
        <v>257</v>
      </c>
      <c r="CN5" s="43" t="s">
        <v>256</v>
      </c>
      <c r="CO5" s="43" t="s">
        <v>257</v>
      </c>
      <c r="CP5" s="43" t="s">
        <v>256</v>
      </c>
      <c r="CQ5" s="43" t="s">
        <v>257</v>
      </c>
      <c r="CR5" s="43" t="s">
        <v>256</v>
      </c>
      <c r="CS5" s="43" t="s">
        <v>257</v>
      </c>
      <c r="CT5" s="43" t="s">
        <v>256</v>
      </c>
      <c r="CU5" s="43" t="s">
        <v>257</v>
      </c>
      <c r="CV5" s="43" t="s">
        <v>256</v>
      </c>
      <c r="CW5" s="43" t="s">
        <v>257</v>
      </c>
      <c r="CX5" s="43" t="s">
        <v>256</v>
      </c>
      <c r="CY5" s="43" t="s">
        <v>257</v>
      </c>
      <c r="CZ5" s="43" t="s">
        <v>256</v>
      </c>
      <c r="DA5" s="43" t="s">
        <v>257</v>
      </c>
      <c r="DB5" s="43" t="s">
        <v>256</v>
      </c>
      <c r="DC5" s="43" t="s">
        <v>257</v>
      </c>
      <c r="DD5" s="43" t="s">
        <v>256</v>
      </c>
      <c r="DE5" s="43" t="s">
        <v>257</v>
      </c>
      <c r="DF5" s="43" t="s">
        <v>256</v>
      </c>
      <c r="DG5" s="43" t="s">
        <v>257</v>
      </c>
      <c r="DH5" s="43" t="s">
        <v>256</v>
      </c>
      <c r="DI5" s="43" t="s">
        <v>257</v>
      </c>
      <c r="DJ5" s="43" t="s">
        <v>256</v>
      </c>
      <c r="DK5" s="43" t="s">
        <v>257</v>
      </c>
      <c r="DL5" s="43" t="s">
        <v>256</v>
      </c>
      <c r="DM5" s="43" t="s">
        <v>257</v>
      </c>
      <c r="DN5" s="43" t="s">
        <v>256</v>
      </c>
      <c r="DO5" s="43" t="s">
        <v>257</v>
      </c>
      <c r="DP5" s="43" t="s">
        <v>256</v>
      </c>
      <c r="DQ5" s="43" t="s">
        <v>257</v>
      </c>
      <c r="DR5" s="43" t="s">
        <v>256</v>
      </c>
      <c r="DS5" s="43" t="s">
        <v>257</v>
      </c>
      <c r="DT5" s="43" t="s">
        <v>256</v>
      </c>
      <c r="DU5" s="43" t="s">
        <v>257</v>
      </c>
      <c r="DV5" s="43" t="s">
        <v>256</v>
      </c>
      <c r="DW5" s="43" t="s">
        <v>257</v>
      </c>
      <c r="DX5" s="43" t="s">
        <v>256</v>
      </c>
      <c r="DY5" s="43" t="s">
        <v>257</v>
      </c>
      <c r="DZ5" s="43" t="s">
        <v>256</v>
      </c>
      <c r="EA5" s="43" t="s">
        <v>257</v>
      </c>
      <c r="EB5" s="43" t="s">
        <v>256</v>
      </c>
      <c r="EC5" s="43" t="s">
        <v>257</v>
      </c>
      <c r="ED5" s="43" t="s">
        <v>256</v>
      </c>
      <c r="EE5" s="43" t="s">
        <v>257</v>
      </c>
      <c r="EF5" s="43" t="s">
        <v>256</v>
      </c>
      <c r="EG5" s="43" t="s">
        <v>257</v>
      </c>
      <c r="EH5" s="43" t="s">
        <v>256</v>
      </c>
      <c r="EI5" s="43" t="s">
        <v>257</v>
      </c>
      <c r="EJ5" s="43" t="s">
        <v>256</v>
      </c>
      <c r="EK5" s="43" t="s">
        <v>257</v>
      </c>
    </row>
    <row r="6" spans="1:141" x14ac:dyDescent="0.25">
      <c r="A6" s="21" t="s">
        <v>258</v>
      </c>
      <c r="B6" s="21"/>
      <c r="C6" s="21"/>
      <c r="D6" s="21"/>
      <c r="E6" s="21"/>
      <c r="F6" s="21">
        <v>28821</v>
      </c>
      <c r="G6" s="21">
        <v>3653</v>
      </c>
      <c r="H6" s="21">
        <v>70153</v>
      </c>
      <c r="I6" s="21">
        <v>9080</v>
      </c>
      <c r="J6" s="21">
        <v>0</v>
      </c>
      <c r="K6" s="21">
        <v>0</v>
      </c>
      <c r="L6" s="21">
        <v>0</v>
      </c>
      <c r="M6" s="21">
        <v>0</v>
      </c>
      <c r="N6" s="21">
        <v>302924</v>
      </c>
      <c r="O6" s="21">
        <v>43034</v>
      </c>
      <c r="P6" s="21">
        <v>842906</v>
      </c>
      <c r="Q6" s="21">
        <v>113006</v>
      </c>
      <c r="R6" s="21">
        <v>880067</v>
      </c>
      <c r="S6" s="21">
        <v>67890</v>
      </c>
      <c r="T6" s="21">
        <v>3107682</v>
      </c>
      <c r="U6" s="21">
        <v>230215</v>
      </c>
      <c r="V6" s="21">
        <v>94439</v>
      </c>
      <c r="W6" s="21">
        <v>7969</v>
      </c>
      <c r="X6" s="21">
        <v>378544</v>
      </c>
      <c r="Y6" s="21">
        <v>29956</v>
      </c>
      <c r="Z6" s="21">
        <v>10111</v>
      </c>
      <c r="AA6" s="21">
        <v>1223</v>
      </c>
      <c r="AB6" s="21">
        <v>36544</v>
      </c>
      <c r="AC6" s="21">
        <v>4899</v>
      </c>
      <c r="AD6" s="21">
        <v>28362</v>
      </c>
      <c r="AE6" s="21">
        <v>4100</v>
      </c>
      <c r="AF6" s="21">
        <v>93775</v>
      </c>
      <c r="AG6" s="21">
        <v>12120</v>
      </c>
      <c r="AH6" s="21">
        <v>1231</v>
      </c>
      <c r="AI6" s="21">
        <v>39</v>
      </c>
      <c r="AJ6" s="21">
        <v>1231</v>
      </c>
      <c r="AK6" s="21">
        <v>39</v>
      </c>
      <c r="AL6" s="21">
        <v>2228</v>
      </c>
      <c r="AM6" s="21">
        <v>285.89999999999998</v>
      </c>
      <c r="AN6" s="21">
        <v>4637</v>
      </c>
      <c r="AO6" s="21">
        <v>734.24</v>
      </c>
      <c r="AP6" s="21"/>
      <c r="AQ6" s="21"/>
      <c r="AR6" s="21"/>
      <c r="AS6" s="21"/>
      <c r="AT6" s="21">
        <v>168907</v>
      </c>
      <c r="AU6" s="56">
        <v>19048.62</v>
      </c>
      <c r="AV6" s="21">
        <v>536206</v>
      </c>
      <c r="AW6" s="56">
        <v>61913.81</v>
      </c>
      <c r="AX6" s="21">
        <v>149312</v>
      </c>
      <c r="AY6" s="21">
        <v>8688</v>
      </c>
      <c r="AZ6" s="21">
        <v>367716</v>
      </c>
      <c r="BA6" s="21">
        <v>23191</v>
      </c>
      <c r="BB6" s="21">
        <v>237162</v>
      </c>
      <c r="BC6" s="21">
        <v>26221.7</v>
      </c>
      <c r="BD6" s="21">
        <v>703980</v>
      </c>
      <c r="BE6" s="21">
        <v>86105.7</v>
      </c>
      <c r="BF6" s="21">
        <v>358450</v>
      </c>
      <c r="BG6" s="21">
        <v>44029</v>
      </c>
      <c r="BH6" s="21">
        <v>1322327</v>
      </c>
      <c r="BI6" s="21">
        <v>153727</v>
      </c>
      <c r="BJ6" s="21">
        <v>1119148</v>
      </c>
      <c r="BK6" s="21">
        <v>53539.3</v>
      </c>
      <c r="BL6" s="21">
        <v>4637376</v>
      </c>
      <c r="BM6" s="21">
        <v>182345.03</v>
      </c>
      <c r="BN6" s="21">
        <v>3251</v>
      </c>
      <c r="BO6" s="21">
        <v>492</v>
      </c>
      <c r="BP6" s="21">
        <v>10989</v>
      </c>
      <c r="BQ6" s="21">
        <v>1620</v>
      </c>
      <c r="BR6" s="21">
        <v>34029</v>
      </c>
      <c r="BS6" s="21">
        <v>2937</v>
      </c>
      <c r="BT6" s="21">
        <v>113393</v>
      </c>
      <c r="BU6" s="21">
        <v>10511</v>
      </c>
      <c r="BV6" s="21">
        <v>34912</v>
      </c>
      <c r="BW6" s="21">
        <v>2951</v>
      </c>
      <c r="BX6" s="21">
        <v>168314</v>
      </c>
      <c r="BY6" s="21">
        <v>12675</v>
      </c>
      <c r="BZ6" s="21">
        <v>65249</v>
      </c>
      <c r="CA6" s="21">
        <v>12788</v>
      </c>
      <c r="CB6" s="21">
        <v>194539</v>
      </c>
      <c r="CC6" s="21">
        <v>39070</v>
      </c>
      <c r="CD6" s="38"/>
      <c r="CE6" s="21"/>
      <c r="CF6" s="38"/>
      <c r="CG6" s="21"/>
      <c r="CH6" s="21"/>
      <c r="CI6" s="21"/>
      <c r="CJ6" s="38">
        <v>3987968</v>
      </c>
      <c r="CK6" s="38">
        <v>292328</v>
      </c>
      <c r="CL6" s="21">
        <v>2121758</v>
      </c>
      <c r="CM6" s="21">
        <v>157412</v>
      </c>
      <c r="CN6" s="21">
        <v>7581113</v>
      </c>
      <c r="CO6" s="21">
        <v>528977</v>
      </c>
      <c r="CP6" s="21">
        <v>9689</v>
      </c>
      <c r="CQ6" s="21">
        <v>1349.5957450000001</v>
      </c>
      <c r="CR6" s="21">
        <v>28503</v>
      </c>
      <c r="CS6" s="21">
        <v>3320.45606</v>
      </c>
      <c r="CT6" s="21">
        <v>402375</v>
      </c>
      <c r="CU6" s="21">
        <v>26255</v>
      </c>
      <c r="CV6" s="21">
        <v>1924545</v>
      </c>
      <c r="CW6" s="21">
        <v>126168</v>
      </c>
      <c r="CX6" s="21">
        <v>615</v>
      </c>
      <c r="CY6" s="21">
        <v>122</v>
      </c>
      <c r="CZ6" s="21">
        <v>684</v>
      </c>
      <c r="DA6" s="21">
        <v>129</v>
      </c>
      <c r="DB6" s="21">
        <v>123747</v>
      </c>
      <c r="DC6" s="21">
        <v>18544.900000000001</v>
      </c>
      <c r="DD6" s="21">
        <v>368440</v>
      </c>
      <c r="DE6" s="21">
        <v>52549.599999999999</v>
      </c>
      <c r="DF6" s="21">
        <v>88170</v>
      </c>
      <c r="DG6" s="21">
        <v>12173</v>
      </c>
      <c r="DH6" s="21">
        <v>299960</v>
      </c>
      <c r="DI6" s="21">
        <v>39693</v>
      </c>
      <c r="DJ6" s="21">
        <v>44128</v>
      </c>
      <c r="DK6" s="21">
        <v>5545</v>
      </c>
      <c r="DL6" s="21">
        <v>158621</v>
      </c>
      <c r="DM6" s="21">
        <v>18771</v>
      </c>
      <c r="DN6" s="21">
        <v>356218</v>
      </c>
      <c r="DO6" s="21">
        <v>22053.58</v>
      </c>
      <c r="DP6" s="21">
        <v>1289288</v>
      </c>
      <c r="DQ6" s="21">
        <v>73563.56</v>
      </c>
      <c r="DR6" s="21">
        <v>1279420</v>
      </c>
      <c r="DS6" s="21">
        <v>159949</v>
      </c>
      <c r="DT6" s="21">
        <v>3570417</v>
      </c>
      <c r="DU6" s="21">
        <v>418639</v>
      </c>
      <c r="DV6" s="21">
        <v>320315</v>
      </c>
      <c r="DW6" s="21">
        <v>42061</v>
      </c>
      <c r="DX6" s="21">
        <v>1228243</v>
      </c>
      <c r="DY6" s="21">
        <v>156869</v>
      </c>
      <c r="DZ6" s="21"/>
      <c r="EA6" s="21"/>
      <c r="EB6" s="21"/>
      <c r="EC6" s="21"/>
      <c r="ED6" s="21">
        <v>20839</v>
      </c>
      <c r="EE6" s="21">
        <v>2912</v>
      </c>
      <c r="EF6" s="21">
        <v>79791</v>
      </c>
      <c r="EG6" s="21">
        <v>10866</v>
      </c>
      <c r="EH6" s="21">
        <f>B6+F6+J6+N6+R6+V6+Z6+AD6+AH6+AL6+AP6+AT6+AX6+BB6+BF6+BJ6+BN6+BR6+BV6+BZ6+CD6+CH6+CL6+CP6+CX6+DB6+DF6+DJ6+DN6+DR6+DV6+DZ6+ED6</f>
        <v>7883502</v>
      </c>
      <c r="EI6" s="21">
        <f>C6+G6+K6+O6+S6+W6+AA6+AE6+AI6+AM6+AQ6+AU6+AY6+BC6+BG6+BK6+BO6+BS6+BW6+CA6+CE6+CI6+CM6+CQ6+CY6+DC6+DG6+DK6+DO6+DS6+DW6+EA6+EE6</f>
        <v>721010.59574500006</v>
      </c>
      <c r="EJ6" s="21">
        <f>D6+H6+L6+P6+T6+X6+AB6+AF6+AJ6+AN6+AR6+AV6+AZ6+BD6+BH6+BL6+BP6+BT6+BX6+CB6+CF6+CJ6+CN6+CR6+CZ6+DD6+DH6+DL6+DP6+DT6+DX6+EB6+EF6</f>
        <v>31183340</v>
      </c>
      <c r="EK6" s="21">
        <f>E6+I6+M6+Q6+U6+Y6+AC6+AG6+AK6+AO6+AS6+AW6+BA6+BE6+BI6+BM6+BQ6+BU6+BY6+CC6+CG6+CK6+CO6+CS6+DA6+DE6+DI6+DM6+DQ6+DU6+DY6+EC6+EG6</f>
        <v>2566913.3960600002</v>
      </c>
    </row>
    <row r="7" spans="1:141" x14ac:dyDescent="0.25">
      <c r="A7" s="21" t="s">
        <v>259</v>
      </c>
      <c r="B7" s="21">
        <v>24</v>
      </c>
      <c r="C7" s="21">
        <v>1.5047699999999999</v>
      </c>
      <c r="D7" s="21">
        <v>24</v>
      </c>
      <c r="E7" s="21">
        <v>1.5047699999999999</v>
      </c>
      <c r="F7" s="21">
        <v>46451</v>
      </c>
      <c r="G7" s="21">
        <v>3861</v>
      </c>
      <c r="H7" s="21">
        <v>150297</v>
      </c>
      <c r="I7" s="21">
        <v>12621</v>
      </c>
      <c r="J7" s="21">
        <v>0</v>
      </c>
      <c r="K7" s="21">
        <v>0</v>
      </c>
      <c r="L7" s="21">
        <v>0</v>
      </c>
      <c r="M7" s="21">
        <v>0</v>
      </c>
      <c r="N7" s="21">
        <v>36015</v>
      </c>
      <c r="O7" s="21">
        <v>13630</v>
      </c>
      <c r="P7" s="21">
        <v>88096</v>
      </c>
      <c r="Q7" s="21">
        <v>34581</v>
      </c>
      <c r="R7" s="21">
        <v>1988476</v>
      </c>
      <c r="S7" s="21">
        <v>40339</v>
      </c>
      <c r="T7" s="21">
        <v>6647708</v>
      </c>
      <c r="U7" s="21">
        <v>128054</v>
      </c>
      <c r="V7" s="21">
        <v>52378</v>
      </c>
      <c r="W7" s="21">
        <v>2807</v>
      </c>
      <c r="X7" s="21">
        <v>93021</v>
      </c>
      <c r="Y7" s="21">
        <v>5875</v>
      </c>
      <c r="Z7" s="21">
        <v>267250</v>
      </c>
      <c r="AA7" s="21">
        <v>28855</v>
      </c>
      <c r="AB7" s="21">
        <v>1068152</v>
      </c>
      <c r="AC7" s="21">
        <v>122763</v>
      </c>
      <c r="AD7" s="21">
        <v>3919</v>
      </c>
      <c r="AE7" s="21">
        <v>3139</v>
      </c>
      <c r="AF7" s="21">
        <v>12356</v>
      </c>
      <c r="AG7" s="21">
        <v>8721</v>
      </c>
      <c r="AH7" s="21">
        <v>31</v>
      </c>
      <c r="AI7" s="21">
        <v>1</v>
      </c>
      <c r="AJ7" s="21">
        <v>38</v>
      </c>
      <c r="AK7" s="21">
        <v>1</v>
      </c>
      <c r="AL7" s="21"/>
      <c r="AM7" s="21"/>
      <c r="AN7" s="21"/>
      <c r="AO7" s="21"/>
      <c r="AP7" s="21">
        <v>2</v>
      </c>
      <c r="AQ7" s="21">
        <v>3.06</v>
      </c>
      <c r="AR7" s="21">
        <v>2</v>
      </c>
      <c r="AS7" s="21">
        <v>4.04</v>
      </c>
      <c r="AT7" s="21">
        <v>191386</v>
      </c>
      <c r="AU7" s="56">
        <v>3555.74</v>
      </c>
      <c r="AV7" s="21">
        <v>615913</v>
      </c>
      <c r="AW7" s="56">
        <v>10505.31</v>
      </c>
      <c r="AX7" s="21">
        <v>8123</v>
      </c>
      <c r="AY7" s="21">
        <v>1747</v>
      </c>
      <c r="AZ7" s="21">
        <v>8123</v>
      </c>
      <c r="BA7" s="21">
        <v>1747</v>
      </c>
      <c r="BB7" s="21">
        <v>681861</v>
      </c>
      <c r="BC7" s="21">
        <v>38645</v>
      </c>
      <c r="BD7" s="21">
        <v>2892923</v>
      </c>
      <c r="BE7" s="21">
        <v>158825.70000000001</v>
      </c>
      <c r="BF7" s="21">
        <v>156276</v>
      </c>
      <c r="BG7" s="21">
        <v>37383</v>
      </c>
      <c r="BH7" s="21">
        <v>1163795</v>
      </c>
      <c r="BI7" s="21">
        <v>120035</v>
      </c>
      <c r="BJ7" s="21">
        <v>20116</v>
      </c>
      <c r="BK7" s="21">
        <v>544.35</v>
      </c>
      <c r="BL7" s="21">
        <v>66454</v>
      </c>
      <c r="BM7" s="21">
        <v>1746.52</v>
      </c>
      <c r="BN7" s="21">
        <v>38996</v>
      </c>
      <c r="BO7" s="21">
        <v>3403</v>
      </c>
      <c r="BP7" s="21">
        <v>109350</v>
      </c>
      <c r="BQ7" s="21">
        <v>12188</v>
      </c>
      <c r="BR7" s="21">
        <v>26888</v>
      </c>
      <c r="BS7" s="21">
        <v>632</v>
      </c>
      <c r="BT7" s="21">
        <v>70927</v>
      </c>
      <c r="BU7" s="21">
        <v>1758</v>
      </c>
      <c r="BV7" s="21">
        <v>2055</v>
      </c>
      <c r="BW7" s="21">
        <v>30</v>
      </c>
      <c r="BX7" s="21">
        <v>7505</v>
      </c>
      <c r="BY7" s="21">
        <v>115</v>
      </c>
      <c r="BZ7" s="21">
        <v>17277</v>
      </c>
      <c r="CA7" s="21">
        <v>6525</v>
      </c>
      <c r="CB7" s="21">
        <v>44900</v>
      </c>
      <c r="CC7" s="21">
        <v>16641</v>
      </c>
      <c r="CD7" s="38"/>
      <c r="CE7" s="21"/>
      <c r="CF7" s="38"/>
      <c r="CG7" s="21"/>
      <c r="CH7" s="21"/>
      <c r="CI7" s="21"/>
      <c r="CJ7" s="38">
        <v>215038</v>
      </c>
      <c r="CK7" s="21">
        <v>11164</v>
      </c>
      <c r="CL7" s="21">
        <v>157886</v>
      </c>
      <c r="CM7" s="21">
        <v>19042</v>
      </c>
      <c r="CN7" s="21">
        <v>263182</v>
      </c>
      <c r="CO7" s="21">
        <v>22484</v>
      </c>
      <c r="CP7" s="21">
        <v>0</v>
      </c>
      <c r="CQ7" s="21">
        <v>0</v>
      </c>
      <c r="CR7" s="21">
        <v>0</v>
      </c>
      <c r="CS7" s="21">
        <v>0</v>
      </c>
      <c r="CT7" s="21">
        <v>56484</v>
      </c>
      <c r="CU7" s="21">
        <v>6871</v>
      </c>
      <c r="CV7" s="21">
        <v>436152</v>
      </c>
      <c r="CW7" s="21">
        <v>20916</v>
      </c>
      <c r="CX7" s="21"/>
      <c r="CY7" s="21"/>
      <c r="CZ7" s="21"/>
      <c r="DA7" s="21"/>
      <c r="DB7" s="21">
        <v>36424</v>
      </c>
      <c r="DC7" s="21">
        <v>11282.8</v>
      </c>
      <c r="DD7" s="21">
        <v>131883</v>
      </c>
      <c r="DE7" s="21">
        <v>36895.9</v>
      </c>
      <c r="DF7" s="21">
        <v>12957</v>
      </c>
      <c r="DG7" s="21">
        <v>1887</v>
      </c>
      <c r="DH7" s="21">
        <v>50865</v>
      </c>
      <c r="DI7" s="21">
        <v>7068</v>
      </c>
      <c r="DJ7" s="21">
        <v>1320485</v>
      </c>
      <c r="DK7" s="21">
        <v>67471</v>
      </c>
      <c r="DL7" s="21">
        <v>3229087</v>
      </c>
      <c r="DM7" s="21">
        <v>185910</v>
      </c>
      <c r="DN7" s="21">
        <v>8761</v>
      </c>
      <c r="DO7" s="21">
        <v>176.97</v>
      </c>
      <c r="DP7" s="21">
        <v>31681</v>
      </c>
      <c r="DQ7" s="21">
        <v>658.17</v>
      </c>
      <c r="DR7" s="21">
        <v>32501</v>
      </c>
      <c r="DS7" s="21">
        <v>3359</v>
      </c>
      <c r="DT7" s="21">
        <v>84683</v>
      </c>
      <c r="DU7" s="21">
        <v>8013</v>
      </c>
      <c r="DV7" s="21">
        <v>391002</v>
      </c>
      <c r="DW7" s="21">
        <v>18907</v>
      </c>
      <c r="DX7" s="21">
        <v>1526313</v>
      </c>
      <c r="DY7" s="21">
        <v>63224</v>
      </c>
      <c r="DZ7" s="21"/>
      <c r="EA7" s="21"/>
      <c r="EB7" s="21"/>
      <c r="EC7" s="21"/>
      <c r="ED7" s="21">
        <v>235432</v>
      </c>
      <c r="EE7" s="21">
        <v>10171</v>
      </c>
      <c r="EF7" s="21">
        <v>724225</v>
      </c>
      <c r="EG7" s="21">
        <v>35940</v>
      </c>
      <c r="EH7" s="21">
        <f t="shared" ref="EH7:EH15" si="0">B7+F7+J7+N7+R7+V7+Z7+AD7+AH7+AL7+AP7+AT7+AX7+BB7+BF7+BJ7+BN7+BR7+BV7+BZ7+CD7+CH7+CL7+CP7+CX7+DB7+DF7+DJ7+DN7+DR7+DV7+DZ7+ED7</f>
        <v>5732972</v>
      </c>
      <c r="EI7" s="21">
        <f t="shared" ref="EI7:EI15" si="1">C7+G7+K7+O7+S7+W7+AA7+AE7+AI7+AM7+AQ7+AU7+AY7+BC7+BG7+BK7+BO7+BS7+BW7+CA7+CE7+CI7+CM7+CQ7+CY7+DC7+DG7+DK7+DO7+DS7+DW7+EA7+EE7</f>
        <v>317398.42476999993</v>
      </c>
      <c r="EJ7" s="21">
        <f t="shared" ref="EJ7:EJ15" si="2">D7+H7+L7+P7+T7+X7+AB7+AF7+AJ7+AN7+AR7+AV7+AZ7+BD7+BH7+BL7+BP7+BT7+BX7+CB7+CF7+CJ7+CN7+CR7+CZ7+DD7+DH7+DL7+DP7+DT7+DX7+EB7+EF7</f>
        <v>19296541</v>
      </c>
      <c r="EK7" s="21">
        <f t="shared" ref="EK7:EK15" si="3">E7+I7+M7+Q7+U7+Y7+AC7+AG7+AK7+AO7+AS7+AW7+BA7+BE7+BI7+BM7+BQ7+BU7+BY7+CC7+CG7+CK7+CO7+CS7+DA7+DE7+DI7+DM7+DQ7+DU7+DY7+EC7+EG7</f>
        <v>1007540.1447700001</v>
      </c>
    </row>
    <row r="8" spans="1:141" x14ac:dyDescent="0.25">
      <c r="A8" s="21" t="s">
        <v>260</v>
      </c>
      <c r="B8" s="21"/>
      <c r="C8" s="21"/>
      <c r="D8" s="21"/>
      <c r="E8" s="21"/>
      <c r="F8" s="21">
        <v>1081</v>
      </c>
      <c r="G8" s="21">
        <v>2018</v>
      </c>
      <c r="H8" s="21">
        <v>3537</v>
      </c>
      <c r="I8" s="21">
        <v>4012</v>
      </c>
      <c r="J8" s="21">
        <v>0</v>
      </c>
      <c r="K8" s="21">
        <v>0</v>
      </c>
      <c r="L8" s="21">
        <v>0</v>
      </c>
      <c r="M8" s="21">
        <v>0</v>
      </c>
      <c r="N8" s="21">
        <v>1406</v>
      </c>
      <c r="O8" s="21">
        <v>399</v>
      </c>
      <c r="P8" s="21">
        <v>3436</v>
      </c>
      <c r="Q8" s="21">
        <v>946</v>
      </c>
      <c r="R8" s="21">
        <v>412688</v>
      </c>
      <c r="S8" s="21">
        <v>14320</v>
      </c>
      <c r="T8" s="21">
        <v>1740456</v>
      </c>
      <c r="U8" s="21">
        <v>51338</v>
      </c>
      <c r="V8" s="21">
        <v>422995</v>
      </c>
      <c r="W8" s="21">
        <v>2710</v>
      </c>
      <c r="X8" s="21">
        <v>436959</v>
      </c>
      <c r="Y8" s="21">
        <v>11888</v>
      </c>
      <c r="Z8" s="21">
        <v>559053</v>
      </c>
      <c r="AA8" s="21">
        <v>63926</v>
      </c>
      <c r="AB8" s="21">
        <v>1257344</v>
      </c>
      <c r="AC8" s="21">
        <v>167078</v>
      </c>
      <c r="AD8" s="21">
        <v>8664</v>
      </c>
      <c r="AE8" s="21">
        <v>706</v>
      </c>
      <c r="AF8" s="21">
        <v>33247</v>
      </c>
      <c r="AG8" s="21">
        <v>6503</v>
      </c>
      <c r="AH8" s="21">
        <v>21836</v>
      </c>
      <c r="AI8" s="21">
        <v>1091</v>
      </c>
      <c r="AJ8" s="21">
        <v>230053</v>
      </c>
      <c r="AK8" s="21">
        <v>19978</v>
      </c>
      <c r="AL8" s="21">
        <v>11</v>
      </c>
      <c r="AM8" s="21">
        <v>1.8</v>
      </c>
      <c r="AN8" s="21">
        <v>30</v>
      </c>
      <c r="AO8" s="21">
        <v>3.41</v>
      </c>
      <c r="AP8" s="21"/>
      <c r="AQ8" s="21"/>
      <c r="AR8" s="21"/>
      <c r="AS8" s="21"/>
      <c r="AT8" s="21">
        <v>16702</v>
      </c>
      <c r="AU8" s="56">
        <v>2067.0100000000002</v>
      </c>
      <c r="AV8" s="21">
        <v>68026</v>
      </c>
      <c r="AW8" s="56">
        <v>7053.9</v>
      </c>
      <c r="AX8" s="21">
        <v>-72312</v>
      </c>
      <c r="AY8" s="21">
        <v>-2945</v>
      </c>
      <c r="AZ8" s="21">
        <v>5262</v>
      </c>
      <c r="BA8" s="21">
        <v>1257</v>
      </c>
      <c r="BB8" s="21">
        <v>103326</v>
      </c>
      <c r="BC8" s="21">
        <v>16563.099999999999</v>
      </c>
      <c r="BD8" s="21">
        <v>506059</v>
      </c>
      <c r="BE8" s="21">
        <v>55909.7</v>
      </c>
      <c r="BF8" s="21">
        <v>74831</v>
      </c>
      <c r="BG8" s="21">
        <v>10624</v>
      </c>
      <c r="BH8" s="21">
        <v>1972822</v>
      </c>
      <c r="BI8" s="21">
        <v>66488</v>
      </c>
      <c r="BJ8" s="21">
        <v>9641</v>
      </c>
      <c r="BK8" s="21">
        <v>548.80999999999995</v>
      </c>
      <c r="BL8" s="21">
        <v>30228</v>
      </c>
      <c r="BM8" s="21">
        <v>1388.38</v>
      </c>
      <c r="BN8" s="21">
        <v>56006</v>
      </c>
      <c r="BO8" s="21">
        <v>407</v>
      </c>
      <c r="BP8" s="21">
        <v>62701</v>
      </c>
      <c r="BQ8" s="21">
        <v>1246</v>
      </c>
      <c r="BR8" s="21">
        <v>411</v>
      </c>
      <c r="BS8" s="21">
        <v>81</v>
      </c>
      <c r="BT8" s="21">
        <v>1409</v>
      </c>
      <c r="BU8" s="21">
        <v>360</v>
      </c>
      <c r="BV8" s="21">
        <v>61466</v>
      </c>
      <c r="BW8" s="21">
        <v>5399</v>
      </c>
      <c r="BX8" s="21">
        <v>213904</v>
      </c>
      <c r="BY8" s="21">
        <v>18351</v>
      </c>
      <c r="BZ8" s="21">
        <v>464</v>
      </c>
      <c r="CA8" s="21">
        <v>2616</v>
      </c>
      <c r="CB8" s="21">
        <v>572</v>
      </c>
      <c r="CC8" s="21">
        <v>8612</v>
      </c>
      <c r="CD8" s="38"/>
      <c r="CE8" s="21"/>
      <c r="CF8" s="38"/>
      <c r="CG8" s="21"/>
      <c r="CH8" s="21"/>
      <c r="CI8" s="21"/>
      <c r="CJ8" s="21">
        <v>28285</v>
      </c>
      <c r="CK8" s="38">
        <v>4604</v>
      </c>
      <c r="CL8" s="21">
        <v>11937</v>
      </c>
      <c r="CM8" s="21">
        <v>755</v>
      </c>
      <c r="CN8" s="21">
        <v>87170</v>
      </c>
      <c r="CO8" s="21">
        <v>4526</v>
      </c>
      <c r="CP8" s="21">
        <v>0</v>
      </c>
      <c r="CQ8" s="21">
        <v>0</v>
      </c>
      <c r="CR8" s="21">
        <v>0</v>
      </c>
      <c r="CS8" s="21">
        <v>0</v>
      </c>
      <c r="CT8" s="21">
        <v>24116</v>
      </c>
      <c r="CU8" s="21">
        <v>7325</v>
      </c>
      <c r="CV8" s="21">
        <v>85802</v>
      </c>
      <c r="CW8" s="21">
        <v>35013</v>
      </c>
      <c r="CX8" s="21">
        <v>1</v>
      </c>
      <c r="CY8" s="21">
        <v>11</v>
      </c>
      <c r="CZ8" s="21">
        <v>1</v>
      </c>
      <c r="DA8" s="21">
        <v>11</v>
      </c>
      <c r="DB8" s="21">
        <v>3908</v>
      </c>
      <c r="DC8" s="21">
        <v>810.1</v>
      </c>
      <c r="DD8" s="21">
        <v>10898</v>
      </c>
      <c r="DE8" s="21">
        <v>1818.5</v>
      </c>
      <c r="DF8" s="21">
        <v>42395</v>
      </c>
      <c r="DG8" s="21">
        <v>12541</v>
      </c>
      <c r="DH8" s="21">
        <v>157362</v>
      </c>
      <c r="DI8" s="21">
        <v>41902</v>
      </c>
      <c r="DJ8" s="21">
        <v>1251</v>
      </c>
      <c r="DK8" s="21">
        <v>96</v>
      </c>
      <c r="DL8" s="21">
        <v>3360</v>
      </c>
      <c r="DM8" s="21">
        <v>341</v>
      </c>
      <c r="DN8" s="21">
        <v>198664</v>
      </c>
      <c r="DO8" s="21">
        <v>41574.06</v>
      </c>
      <c r="DP8" s="21">
        <v>683081</v>
      </c>
      <c r="DQ8" s="21">
        <v>138102.9</v>
      </c>
      <c r="DR8" s="21">
        <v>5311</v>
      </c>
      <c r="DS8" s="21">
        <v>518</v>
      </c>
      <c r="DT8" s="21">
        <v>13638</v>
      </c>
      <c r="DU8" s="21">
        <v>1367</v>
      </c>
      <c r="DV8" s="21">
        <v>380217</v>
      </c>
      <c r="DW8" s="21">
        <v>5512</v>
      </c>
      <c r="DX8" s="21">
        <v>2666396</v>
      </c>
      <c r="DY8" s="21">
        <v>36525</v>
      </c>
      <c r="DZ8" s="21"/>
      <c r="EA8" s="21"/>
      <c r="EB8" s="21"/>
      <c r="EC8" s="21"/>
      <c r="ED8" s="21">
        <v>115</v>
      </c>
      <c r="EE8" s="21">
        <v>6</v>
      </c>
      <c r="EF8" s="21">
        <v>315</v>
      </c>
      <c r="EG8" s="21">
        <v>26</v>
      </c>
      <c r="EH8" s="21">
        <f t="shared" si="0"/>
        <v>2322068</v>
      </c>
      <c r="EI8" s="21">
        <f t="shared" si="1"/>
        <v>182355.88</v>
      </c>
      <c r="EJ8" s="21">
        <f t="shared" si="2"/>
        <v>10216551</v>
      </c>
      <c r="EK8" s="21">
        <f t="shared" si="3"/>
        <v>651635.79</v>
      </c>
    </row>
    <row r="9" spans="1:141" x14ac:dyDescent="0.25">
      <c r="A9" s="21" t="s">
        <v>261</v>
      </c>
      <c r="B9" s="21">
        <v>59868</v>
      </c>
      <c r="C9" s="21">
        <v>1047.39815</v>
      </c>
      <c r="D9" s="21">
        <v>73853</v>
      </c>
      <c r="E9" s="21">
        <v>1680.8736200000001</v>
      </c>
      <c r="F9" s="21">
        <v>8001</v>
      </c>
      <c r="G9" s="21">
        <v>6780</v>
      </c>
      <c r="H9" s="21">
        <v>20519</v>
      </c>
      <c r="I9" s="21">
        <v>19071</v>
      </c>
      <c r="J9" s="21">
        <v>124878</v>
      </c>
      <c r="K9" s="21">
        <v>5581.21</v>
      </c>
      <c r="L9" s="21">
        <v>137445</v>
      </c>
      <c r="M9" s="21">
        <v>3610.09</v>
      </c>
      <c r="N9" s="21">
        <v>23635</v>
      </c>
      <c r="O9" s="21">
        <v>22872</v>
      </c>
      <c r="P9" s="21">
        <v>66808</v>
      </c>
      <c r="Q9" s="21">
        <v>32837</v>
      </c>
      <c r="R9" s="21">
        <v>2898779</v>
      </c>
      <c r="S9" s="21">
        <v>150337</v>
      </c>
      <c r="T9" s="21">
        <v>4724795</v>
      </c>
      <c r="U9" s="21">
        <v>414641</v>
      </c>
      <c r="V9" s="21">
        <v>350776</v>
      </c>
      <c r="W9" s="21">
        <v>31199</v>
      </c>
      <c r="X9" s="21">
        <v>1057368</v>
      </c>
      <c r="Y9" s="21">
        <v>102815</v>
      </c>
      <c r="Z9" s="21">
        <v>86491</v>
      </c>
      <c r="AA9" s="21">
        <v>15425</v>
      </c>
      <c r="AB9" s="21">
        <v>398742</v>
      </c>
      <c r="AC9" s="21">
        <v>50796</v>
      </c>
      <c r="AD9" s="21">
        <v>17961</v>
      </c>
      <c r="AE9" s="21">
        <v>3602</v>
      </c>
      <c r="AF9" s="21">
        <v>60010</v>
      </c>
      <c r="AG9" s="21">
        <v>16027</v>
      </c>
      <c r="AH9" s="21">
        <v>5344</v>
      </c>
      <c r="AI9" s="21">
        <v>1125</v>
      </c>
      <c r="AJ9" s="21">
        <v>5736</v>
      </c>
      <c r="AK9" s="21">
        <v>1667</v>
      </c>
      <c r="AL9" s="21">
        <v>6846</v>
      </c>
      <c r="AM9" s="21">
        <v>1948.52</v>
      </c>
      <c r="AN9" s="21">
        <v>9198</v>
      </c>
      <c r="AO9" s="21">
        <v>4676.97</v>
      </c>
      <c r="AP9" s="21">
        <v>89</v>
      </c>
      <c r="AQ9" s="21">
        <v>3729.44</v>
      </c>
      <c r="AR9" s="21">
        <v>315</v>
      </c>
      <c r="AS9" s="21">
        <v>9452.59</v>
      </c>
      <c r="AT9" s="21">
        <v>74855</v>
      </c>
      <c r="AU9" s="56">
        <v>19160.96</v>
      </c>
      <c r="AV9" s="21">
        <v>270812</v>
      </c>
      <c r="AW9" s="56">
        <v>68215.899999999994</v>
      </c>
      <c r="AX9" s="21">
        <v>70159</v>
      </c>
      <c r="AY9" s="21">
        <v>7329</v>
      </c>
      <c r="AZ9" s="21">
        <v>175536</v>
      </c>
      <c r="BA9" s="21">
        <v>18930</v>
      </c>
      <c r="BB9" s="21">
        <v>604849</v>
      </c>
      <c r="BC9" s="21">
        <v>60478.8</v>
      </c>
      <c r="BD9" s="21">
        <v>1877897</v>
      </c>
      <c r="BE9" s="21">
        <v>233644</v>
      </c>
      <c r="BF9" s="21">
        <v>3983694</v>
      </c>
      <c r="BG9" s="21">
        <v>155358</v>
      </c>
      <c r="BH9" s="21">
        <v>14305655</v>
      </c>
      <c r="BI9" s="21">
        <v>590964</v>
      </c>
      <c r="BJ9" s="21">
        <v>435122</v>
      </c>
      <c r="BK9" s="21">
        <v>65336.72</v>
      </c>
      <c r="BL9" s="21">
        <v>1634623</v>
      </c>
      <c r="BM9" s="21">
        <v>240874.57</v>
      </c>
      <c r="BN9" s="21">
        <v>22242</v>
      </c>
      <c r="BO9" s="21">
        <v>2289</v>
      </c>
      <c r="BP9" s="21">
        <v>77010</v>
      </c>
      <c r="BQ9" s="21">
        <v>6871</v>
      </c>
      <c r="BR9" s="21">
        <v>222464</v>
      </c>
      <c r="BS9" s="21">
        <v>18758</v>
      </c>
      <c r="BT9" s="21">
        <v>860400</v>
      </c>
      <c r="BU9" s="21">
        <v>70561</v>
      </c>
      <c r="BV9" s="21">
        <v>96380</v>
      </c>
      <c r="BW9" s="21">
        <v>12075</v>
      </c>
      <c r="BX9" s="21">
        <v>281831</v>
      </c>
      <c r="BY9" s="21">
        <v>32393</v>
      </c>
      <c r="BZ9" s="21">
        <v>21933</v>
      </c>
      <c r="CA9" s="21">
        <v>3472</v>
      </c>
      <c r="CB9" s="21">
        <v>54674</v>
      </c>
      <c r="CC9" s="21">
        <v>9165</v>
      </c>
      <c r="CD9" s="38"/>
      <c r="CE9" s="21"/>
      <c r="CF9" s="38"/>
      <c r="CG9" s="21"/>
      <c r="CH9" s="21"/>
      <c r="CI9" s="21"/>
      <c r="CJ9" s="38">
        <v>208997</v>
      </c>
      <c r="CK9" s="38">
        <v>177737</v>
      </c>
      <c r="CL9" s="21">
        <v>235679</v>
      </c>
      <c r="CM9" s="21">
        <v>71980</v>
      </c>
      <c r="CN9" s="21">
        <v>1236631</v>
      </c>
      <c r="CO9" s="21">
        <v>275185</v>
      </c>
      <c r="CP9" s="21">
        <v>6010</v>
      </c>
      <c r="CQ9" s="21">
        <v>2195.1371330000002</v>
      </c>
      <c r="CR9" s="21">
        <v>22978</v>
      </c>
      <c r="CS9" s="21">
        <v>6252.563948</v>
      </c>
      <c r="CT9" s="21">
        <v>326493</v>
      </c>
      <c r="CU9" s="21">
        <v>33207</v>
      </c>
      <c r="CV9" s="21">
        <v>1580707</v>
      </c>
      <c r="CW9" s="21">
        <v>164301</v>
      </c>
      <c r="CX9" s="21"/>
      <c r="CY9" s="21"/>
      <c r="CZ9" s="21"/>
      <c r="DA9" s="21"/>
      <c r="DB9" s="21">
        <v>44190</v>
      </c>
      <c r="DC9" s="21">
        <v>9668.9</v>
      </c>
      <c r="DD9" s="21">
        <v>138524</v>
      </c>
      <c r="DE9" s="21">
        <v>47312.5</v>
      </c>
      <c r="DF9" s="21">
        <v>216912</v>
      </c>
      <c r="DG9" s="21">
        <v>34441</v>
      </c>
      <c r="DH9" s="21">
        <v>987066</v>
      </c>
      <c r="DI9" s="21">
        <v>154396</v>
      </c>
      <c r="DJ9" s="21">
        <v>96302</v>
      </c>
      <c r="DK9" s="21">
        <v>22319</v>
      </c>
      <c r="DL9" s="21">
        <v>435259</v>
      </c>
      <c r="DM9" s="21">
        <v>94284</v>
      </c>
      <c r="DN9" s="21">
        <v>79482</v>
      </c>
      <c r="DO9" s="21">
        <v>3000.79</v>
      </c>
      <c r="DP9" s="21">
        <v>252434</v>
      </c>
      <c r="DQ9" s="21">
        <v>8791.4699999999993</v>
      </c>
      <c r="DR9" s="21">
        <v>22826</v>
      </c>
      <c r="DS9" s="21">
        <v>25412</v>
      </c>
      <c r="DT9" s="21">
        <v>55660</v>
      </c>
      <c r="DU9" s="21">
        <v>39158</v>
      </c>
      <c r="DV9" s="21">
        <v>1158724</v>
      </c>
      <c r="DW9" s="21">
        <v>72503</v>
      </c>
      <c r="DX9" s="21">
        <v>3399889</v>
      </c>
      <c r="DY9" s="21">
        <v>290526</v>
      </c>
      <c r="DZ9" s="21"/>
      <c r="EA9" s="21"/>
      <c r="EB9" s="21"/>
      <c r="EC9" s="21"/>
      <c r="ED9" s="21">
        <v>126565</v>
      </c>
      <c r="EE9" s="21">
        <v>18434</v>
      </c>
      <c r="EF9" s="21">
        <v>399059</v>
      </c>
      <c r="EG9" s="21">
        <v>54446</v>
      </c>
      <c r="EH9" s="21">
        <f t="shared" si="0"/>
        <v>11101056</v>
      </c>
      <c r="EI9" s="21">
        <f t="shared" si="1"/>
        <v>847857.87528299994</v>
      </c>
      <c r="EJ9" s="21">
        <f t="shared" si="2"/>
        <v>33229724</v>
      </c>
      <c r="EK9" s="21">
        <f t="shared" si="3"/>
        <v>3076981.5275679999</v>
      </c>
    </row>
    <row r="10" spans="1:141" x14ac:dyDescent="0.25">
      <c r="A10" s="21" t="s">
        <v>262</v>
      </c>
      <c r="B10" s="21"/>
      <c r="C10" s="21"/>
      <c r="D10" s="21"/>
      <c r="E10" s="21"/>
      <c r="F10" s="21"/>
      <c r="G10" s="21"/>
      <c r="H10" s="21"/>
      <c r="I10" s="21"/>
      <c r="J10" s="21">
        <v>2148</v>
      </c>
      <c r="K10" s="21">
        <v>245.84</v>
      </c>
      <c r="L10" s="21">
        <v>7186</v>
      </c>
      <c r="M10" s="21">
        <v>428.87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>
        <v>1</v>
      </c>
      <c r="AU10" s="56">
        <v>7.33</v>
      </c>
      <c r="AV10" s="21">
        <v>8</v>
      </c>
      <c r="AW10" s="56">
        <v>17.89</v>
      </c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>
        <v>0</v>
      </c>
      <c r="BK10" s="21"/>
      <c r="BL10" s="21">
        <v>216</v>
      </c>
      <c r="BM10" s="21">
        <v>3.91</v>
      </c>
      <c r="BN10" s="21">
        <v>5920</v>
      </c>
      <c r="BO10" s="21">
        <v>46</v>
      </c>
      <c r="BP10" s="21">
        <v>5920</v>
      </c>
      <c r="BQ10" s="21">
        <v>46</v>
      </c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38"/>
      <c r="CE10" s="21"/>
      <c r="CF10" s="38"/>
      <c r="CG10" s="21"/>
      <c r="CH10" s="21"/>
      <c r="CI10" s="21"/>
      <c r="CJ10" s="38">
        <v>63</v>
      </c>
      <c r="CK10" s="21">
        <v>4</v>
      </c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/>
      <c r="CU10" s="21"/>
      <c r="CV10" s="21"/>
      <c r="CW10" s="21"/>
      <c r="CX10" s="21"/>
      <c r="CY10" s="21"/>
      <c r="CZ10" s="21"/>
      <c r="DA10" s="21"/>
      <c r="DB10" s="21">
        <v>40</v>
      </c>
      <c r="DC10" s="21">
        <v>600.29999999999995</v>
      </c>
      <c r="DD10" s="21">
        <v>284</v>
      </c>
      <c r="DE10" s="21">
        <v>1422</v>
      </c>
      <c r="DF10" s="21">
        <v>2</v>
      </c>
      <c r="DG10" s="21">
        <v>0</v>
      </c>
      <c r="DH10" s="21">
        <v>24</v>
      </c>
      <c r="DI10" s="21">
        <v>2</v>
      </c>
      <c r="DJ10" s="21"/>
      <c r="DK10" s="21"/>
      <c r="DL10" s="21"/>
      <c r="DM10" s="21"/>
      <c r="DN10" s="21">
        <v>0</v>
      </c>
      <c r="DO10" s="21">
        <v>0</v>
      </c>
      <c r="DP10" s="21">
        <v>0</v>
      </c>
      <c r="DQ10" s="21">
        <v>0</v>
      </c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>
        <f t="shared" si="0"/>
        <v>8111</v>
      </c>
      <c r="EI10" s="21">
        <f t="shared" si="1"/>
        <v>899.47</v>
      </c>
      <c r="EJ10" s="21">
        <f t="shared" si="2"/>
        <v>13701</v>
      </c>
      <c r="EK10" s="21">
        <f t="shared" si="3"/>
        <v>1924.67</v>
      </c>
    </row>
    <row r="11" spans="1:141" x14ac:dyDescent="0.25">
      <c r="A11" s="21" t="s">
        <v>266</v>
      </c>
      <c r="B11" s="21">
        <v>76322</v>
      </c>
      <c r="C11" s="21">
        <v>4177.0496499999999</v>
      </c>
      <c r="D11" s="21">
        <v>148643</v>
      </c>
      <c r="E11" s="21">
        <v>12432.53061</v>
      </c>
      <c r="F11" s="21">
        <v>15818</v>
      </c>
      <c r="G11" s="21">
        <v>1815</v>
      </c>
      <c r="H11" s="21">
        <v>36620</v>
      </c>
      <c r="I11" s="21">
        <v>4896</v>
      </c>
      <c r="J11" s="21">
        <v>277</v>
      </c>
      <c r="K11" s="21">
        <v>17.739999999999998</v>
      </c>
      <c r="L11" s="21">
        <v>8735</v>
      </c>
      <c r="M11" s="21">
        <v>179.77</v>
      </c>
      <c r="N11" s="21">
        <v>44191</v>
      </c>
      <c r="O11" s="21">
        <v>8999</v>
      </c>
      <c r="P11" s="21">
        <v>140765</v>
      </c>
      <c r="Q11" s="21">
        <v>33468</v>
      </c>
      <c r="R11" s="21">
        <v>1138216</v>
      </c>
      <c r="S11" s="21">
        <v>59870</v>
      </c>
      <c r="T11" s="21">
        <v>3621175</v>
      </c>
      <c r="U11" s="21">
        <v>257041</v>
      </c>
      <c r="V11" s="21">
        <v>173621</v>
      </c>
      <c r="W11" s="21">
        <v>17055</v>
      </c>
      <c r="X11" s="21">
        <v>1119359</v>
      </c>
      <c r="Y11" s="21">
        <v>75271</v>
      </c>
      <c r="Z11" s="21">
        <v>38225</v>
      </c>
      <c r="AA11" s="21">
        <v>16487</v>
      </c>
      <c r="AB11" s="21">
        <v>187466</v>
      </c>
      <c r="AC11" s="21">
        <v>97280</v>
      </c>
      <c r="AD11" s="21">
        <v>9159</v>
      </c>
      <c r="AE11" s="21">
        <v>1359</v>
      </c>
      <c r="AF11" s="21">
        <v>40496</v>
      </c>
      <c r="AG11" s="21">
        <v>5111</v>
      </c>
      <c r="AH11" s="21">
        <f>16073+1284</f>
        <v>17357</v>
      </c>
      <c r="AI11" s="21">
        <f>330+151</f>
        <v>481</v>
      </c>
      <c r="AJ11" s="21">
        <f>30703+3099</f>
        <v>33802</v>
      </c>
      <c r="AK11" s="21">
        <f>635+1361</f>
        <v>1996</v>
      </c>
      <c r="AL11" s="21">
        <v>3065</v>
      </c>
      <c r="AM11" s="21">
        <v>850.44</v>
      </c>
      <c r="AN11" s="21">
        <v>10626</v>
      </c>
      <c r="AO11" s="21">
        <v>2971.5</v>
      </c>
      <c r="AP11" s="21">
        <v>1401</v>
      </c>
      <c r="AQ11" s="21">
        <v>7744.08</v>
      </c>
      <c r="AR11" s="21">
        <v>5069</v>
      </c>
      <c r="AS11" s="21">
        <v>31768.880000000001</v>
      </c>
      <c r="AT11" s="21">
        <v>79990</v>
      </c>
      <c r="AU11" s="56">
        <v>35126.699999999997</v>
      </c>
      <c r="AV11" s="21">
        <v>320747</v>
      </c>
      <c r="AW11" s="56">
        <v>101257.26</v>
      </c>
      <c r="AX11" s="21">
        <v>490314</v>
      </c>
      <c r="AY11" s="21">
        <v>17374</v>
      </c>
      <c r="AZ11" s="21">
        <v>1417983</v>
      </c>
      <c r="BA11" s="21">
        <v>40002</v>
      </c>
      <c r="BB11" s="21">
        <v>421047</v>
      </c>
      <c r="BC11" s="21">
        <v>53473.1</v>
      </c>
      <c r="BD11" s="21">
        <v>1116780</v>
      </c>
      <c r="BE11" s="21">
        <v>289076.59999999998</v>
      </c>
      <c r="BF11" s="21">
        <f>333286+583415</f>
        <v>916701</v>
      </c>
      <c r="BG11" s="21">
        <f>6602+39072</f>
        <v>45674</v>
      </c>
      <c r="BH11" s="21">
        <f>1961455+2815325</f>
        <v>4776780</v>
      </c>
      <c r="BI11" s="21">
        <f>24969+377186</f>
        <v>402155</v>
      </c>
      <c r="BJ11" s="21">
        <v>106650</v>
      </c>
      <c r="BK11" s="21">
        <v>64392.23</v>
      </c>
      <c r="BL11" s="21">
        <v>433389</v>
      </c>
      <c r="BM11" s="21">
        <v>273826.34999999998</v>
      </c>
      <c r="BN11" s="21">
        <v>133266</v>
      </c>
      <c r="BO11" s="21">
        <v>1560</v>
      </c>
      <c r="BP11" s="21">
        <v>353794</v>
      </c>
      <c r="BQ11" s="21">
        <v>4150</v>
      </c>
      <c r="BR11" s="21">
        <v>81537</v>
      </c>
      <c r="BS11" s="21">
        <v>1413</v>
      </c>
      <c r="BT11" s="21">
        <v>163086</v>
      </c>
      <c r="BU11" s="21">
        <v>5727</v>
      </c>
      <c r="BV11" s="21">
        <v>7626</v>
      </c>
      <c r="BW11" s="21">
        <v>6438</v>
      </c>
      <c r="BX11" s="21">
        <v>26237</v>
      </c>
      <c r="BY11" s="21">
        <v>9268</v>
      </c>
      <c r="BZ11" s="21">
        <v>27531</v>
      </c>
      <c r="CA11" s="21">
        <v>6628</v>
      </c>
      <c r="CB11" s="21">
        <v>93444</v>
      </c>
      <c r="CC11" s="21">
        <v>21213</v>
      </c>
      <c r="CD11" s="38"/>
      <c r="CE11" s="21"/>
      <c r="CF11" s="38"/>
      <c r="CG11" s="21"/>
      <c r="CH11" s="21"/>
      <c r="CI11" s="21"/>
      <c r="CJ11" s="38">
        <v>3375019</v>
      </c>
      <c r="CK11" s="38">
        <v>162602</v>
      </c>
      <c r="CL11" s="21">
        <v>167532</v>
      </c>
      <c r="CM11" s="21">
        <v>115187</v>
      </c>
      <c r="CN11" s="21">
        <v>1860926</v>
      </c>
      <c r="CO11" s="21">
        <v>491042</v>
      </c>
      <c r="CP11" s="21">
        <v>6229</v>
      </c>
      <c r="CQ11" s="21">
        <v>604.14613259999999</v>
      </c>
      <c r="CR11" s="21">
        <v>23699</v>
      </c>
      <c r="CS11" s="21">
        <v>2025.6115850000001</v>
      </c>
      <c r="CT11" s="21">
        <v>191342</v>
      </c>
      <c r="CU11" s="21">
        <v>49385</v>
      </c>
      <c r="CV11" s="21">
        <v>925263</v>
      </c>
      <c r="CW11" s="21">
        <v>240990</v>
      </c>
      <c r="CX11" s="21">
        <v>1947</v>
      </c>
      <c r="CY11" s="21">
        <v>221</v>
      </c>
      <c r="CZ11" s="21">
        <v>2460</v>
      </c>
      <c r="DA11" s="21">
        <v>269</v>
      </c>
      <c r="DB11" s="21">
        <v>47178</v>
      </c>
      <c r="DC11" s="21">
        <v>8828.6</v>
      </c>
      <c r="DD11" s="21">
        <v>188016</v>
      </c>
      <c r="DE11" s="21">
        <v>42558.9</v>
      </c>
      <c r="DF11" s="21">
        <v>191562</v>
      </c>
      <c r="DG11" s="21">
        <v>12572</v>
      </c>
      <c r="DH11" s="21">
        <v>431607</v>
      </c>
      <c r="DI11" s="21">
        <v>74196</v>
      </c>
      <c r="DJ11" s="21">
        <v>10837</v>
      </c>
      <c r="DK11" s="21">
        <v>42170</v>
      </c>
      <c r="DL11" s="21">
        <v>36063</v>
      </c>
      <c r="DM11" s="21">
        <v>171026</v>
      </c>
      <c r="DN11" s="21">
        <v>34388</v>
      </c>
      <c r="DO11" s="21">
        <v>1553.84</v>
      </c>
      <c r="DP11" s="21">
        <v>171463</v>
      </c>
      <c r="DQ11" s="21">
        <v>10293.94</v>
      </c>
      <c r="DR11" s="21">
        <v>171763</v>
      </c>
      <c r="DS11" s="21">
        <v>24467</v>
      </c>
      <c r="DT11" s="21">
        <v>571071</v>
      </c>
      <c r="DU11" s="21">
        <v>72952</v>
      </c>
      <c r="DV11" s="21">
        <v>226826</v>
      </c>
      <c r="DW11" s="21">
        <v>58986</v>
      </c>
      <c r="DX11" s="21">
        <v>916687</v>
      </c>
      <c r="DY11" s="21">
        <v>198041</v>
      </c>
      <c r="DZ11" s="21"/>
      <c r="EA11" s="21"/>
      <c r="EB11" s="21"/>
      <c r="EC11" s="21"/>
      <c r="ED11" s="21">
        <v>26401</v>
      </c>
      <c r="EE11" s="21">
        <v>50133</v>
      </c>
      <c r="EF11" s="21">
        <v>78805</v>
      </c>
      <c r="EG11" s="21">
        <v>181808</v>
      </c>
      <c r="EH11" s="21">
        <f t="shared" si="0"/>
        <v>4666977</v>
      </c>
      <c r="EI11" s="21">
        <f t="shared" si="1"/>
        <v>665656.92578259995</v>
      </c>
      <c r="EJ11" s="21">
        <f t="shared" si="2"/>
        <v>21710812</v>
      </c>
      <c r="EK11" s="21">
        <f t="shared" si="3"/>
        <v>3075905.342195</v>
      </c>
    </row>
    <row r="12" spans="1:141" x14ac:dyDescent="0.25">
      <c r="A12" s="21" t="s">
        <v>171</v>
      </c>
      <c r="B12" s="21">
        <v>601</v>
      </c>
      <c r="C12" s="21">
        <v>74.083780000000004</v>
      </c>
      <c r="D12" s="21">
        <v>601</v>
      </c>
      <c r="E12" s="21">
        <v>74.083780000000004</v>
      </c>
      <c r="F12" s="21"/>
      <c r="G12" s="21"/>
      <c r="H12" s="21"/>
      <c r="I12" s="21"/>
      <c r="J12" s="21">
        <v>1344138</v>
      </c>
      <c r="K12" s="21">
        <v>41580.71</v>
      </c>
      <c r="L12" s="21">
        <v>7682573</v>
      </c>
      <c r="M12" s="21">
        <v>685864.69</v>
      </c>
      <c r="N12" s="21">
        <v>13760</v>
      </c>
      <c r="O12" s="21">
        <v>1719</v>
      </c>
      <c r="P12" s="21">
        <v>40680</v>
      </c>
      <c r="Q12" s="21">
        <v>4606</v>
      </c>
      <c r="R12" s="21">
        <v>289494</v>
      </c>
      <c r="S12" s="21">
        <v>6647</v>
      </c>
      <c r="T12" s="21">
        <v>878606</v>
      </c>
      <c r="U12" s="21">
        <v>24652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>
        <v>8827</v>
      </c>
      <c r="AI12" s="21">
        <v>626</v>
      </c>
      <c r="AJ12" s="21">
        <v>8856</v>
      </c>
      <c r="AK12" s="21">
        <v>626</v>
      </c>
      <c r="AL12" s="21">
        <v>12121</v>
      </c>
      <c r="AM12" s="21">
        <v>514.62</v>
      </c>
      <c r="AN12" s="21">
        <v>16377</v>
      </c>
      <c r="AO12" s="21">
        <v>868.68</v>
      </c>
      <c r="AP12" s="21"/>
      <c r="AQ12" s="21"/>
      <c r="AR12" s="21"/>
      <c r="AS12" s="21"/>
      <c r="AT12" s="21">
        <v>16716</v>
      </c>
      <c r="AU12" s="56">
        <v>1883.05</v>
      </c>
      <c r="AV12" s="21">
        <v>57380</v>
      </c>
      <c r="AW12" s="56">
        <v>6390.26</v>
      </c>
      <c r="AX12" s="21">
        <v>116232</v>
      </c>
      <c r="AY12" s="21">
        <v>4355</v>
      </c>
      <c r="AZ12" s="21">
        <v>116232</v>
      </c>
      <c r="BA12" s="21">
        <v>4355</v>
      </c>
      <c r="BB12" s="21">
        <v>421792</v>
      </c>
      <c r="BC12" s="21">
        <v>11896.7</v>
      </c>
      <c r="BD12" s="21">
        <v>1377463</v>
      </c>
      <c r="BE12" s="21">
        <v>37723.4</v>
      </c>
      <c r="BF12" s="21">
        <v>708453</v>
      </c>
      <c r="BG12" s="21">
        <v>55424</v>
      </c>
      <c r="BH12" s="21">
        <v>2942699</v>
      </c>
      <c r="BI12" s="21">
        <v>115453</v>
      </c>
      <c r="BJ12" s="21"/>
      <c r="BK12" s="21"/>
      <c r="BL12" s="21"/>
      <c r="BM12" s="21"/>
      <c r="BN12" s="21">
        <f>BN13-BN11-BN10-BN9-BN8-BN7-BN6</f>
        <v>38419</v>
      </c>
      <c r="BO12" s="21">
        <f>BO13-BO11-BO10-BO9-BO8-BO7-BO6</f>
        <v>1157</v>
      </c>
      <c r="BP12" s="21">
        <f>BP13-BP11-BP10-BP9-BP8-BP7-BP6</f>
        <v>103187</v>
      </c>
      <c r="BQ12" s="21">
        <f>BQ13-BQ11-BQ10-BQ9-BQ8-BQ7-BQ6</f>
        <v>3990</v>
      </c>
      <c r="BR12" s="21">
        <v>138697</v>
      </c>
      <c r="BS12" s="21">
        <v>7870</v>
      </c>
      <c r="BT12" s="21">
        <v>504817</v>
      </c>
      <c r="BU12" s="21">
        <v>23598</v>
      </c>
      <c r="BV12" s="21">
        <v>157702</v>
      </c>
      <c r="BW12" s="21">
        <v>7695</v>
      </c>
      <c r="BX12" s="21">
        <v>476741</v>
      </c>
      <c r="BY12" s="21">
        <v>24209</v>
      </c>
      <c r="BZ12" s="21"/>
      <c r="CA12" s="21"/>
      <c r="CB12" s="21"/>
      <c r="CC12" s="21"/>
      <c r="CD12" s="38"/>
      <c r="CE12" s="21"/>
      <c r="CF12" s="38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>
        <f>CT13-CT11-CT9-CT8-CT7-CT6</f>
        <v>151962</v>
      </c>
      <c r="CU12" s="21">
        <f>CU13-CU11-CU9-CU8-CU7-CU6</f>
        <v>8623</v>
      </c>
      <c r="CV12" s="21">
        <f>CV13-CV11-CV9-CV8-CV7-CV6</f>
        <v>652450</v>
      </c>
      <c r="CW12" s="21">
        <f>CW13-CW11-CW9-CW8-CW7-CW6</f>
        <v>31715</v>
      </c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>
        <v>39923</v>
      </c>
      <c r="DO12" s="21">
        <v>928.11</v>
      </c>
      <c r="DP12" s="21">
        <v>179153</v>
      </c>
      <c r="DQ12" s="21">
        <v>4224.37</v>
      </c>
      <c r="DR12" s="21"/>
      <c r="DS12" s="21"/>
      <c r="DT12" s="21"/>
      <c r="DU12" s="21"/>
      <c r="DV12" s="21">
        <v>111382</v>
      </c>
      <c r="DW12" s="21">
        <v>8942</v>
      </c>
      <c r="DX12" s="21">
        <v>392358</v>
      </c>
      <c r="DY12" s="21">
        <v>29081</v>
      </c>
      <c r="DZ12" s="21"/>
      <c r="EA12" s="21"/>
      <c r="EB12" s="21"/>
      <c r="EC12" s="21"/>
      <c r="ED12" s="21"/>
      <c r="EE12" s="21"/>
      <c r="EF12" s="21"/>
      <c r="EG12" s="21"/>
      <c r="EH12" s="21">
        <f t="shared" si="0"/>
        <v>3418257</v>
      </c>
      <c r="EI12" s="21">
        <f t="shared" si="1"/>
        <v>151312.27377999999</v>
      </c>
      <c r="EJ12" s="21">
        <f t="shared" si="2"/>
        <v>14777723</v>
      </c>
      <c r="EK12" s="21">
        <f t="shared" si="3"/>
        <v>965715.48378000001</v>
      </c>
    </row>
    <row r="13" spans="1:141" s="15" customFormat="1" x14ac:dyDescent="0.25">
      <c r="A13" s="24" t="s">
        <v>267</v>
      </c>
      <c r="B13" s="24">
        <v>136815</v>
      </c>
      <c r="C13" s="24">
        <v>5300.0363399999997</v>
      </c>
      <c r="D13" s="24">
        <v>223121</v>
      </c>
      <c r="E13" s="24">
        <v>14188.99278</v>
      </c>
      <c r="F13" s="24">
        <v>100172</v>
      </c>
      <c r="G13" s="24">
        <v>18127</v>
      </c>
      <c r="H13" s="24">
        <v>281126</v>
      </c>
      <c r="I13" s="24">
        <v>49680</v>
      </c>
      <c r="J13" s="24">
        <v>1471441</v>
      </c>
      <c r="K13" s="24">
        <v>47425.51</v>
      </c>
      <c r="L13" s="24">
        <v>7835939</v>
      </c>
      <c r="M13" s="24">
        <v>690083.42</v>
      </c>
      <c r="N13" s="24">
        <v>421931</v>
      </c>
      <c r="O13" s="24">
        <v>90653</v>
      </c>
      <c r="P13" s="24">
        <v>1182691</v>
      </c>
      <c r="Q13" s="24">
        <v>219444</v>
      </c>
      <c r="R13" s="24">
        <v>7607720</v>
      </c>
      <c r="S13" s="24">
        <v>339402</v>
      </c>
      <c r="T13" s="24">
        <v>20720422</v>
      </c>
      <c r="U13" s="24">
        <v>1105941</v>
      </c>
      <c r="V13" s="24">
        <v>1094209</v>
      </c>
      <c r="W13" s="24">
        <v>61740</v>
      </c>
      <c r="X13" s="24">
        <v>3085251</v>
      </c>
      <c r="Y13" s="24">
        <v>225805</v>
      </c>
      <c r="Z13" s="24">
        <v>961130</v>
      </c>
      <c r="AA13" s="24">
        <v>125916</v>
      </c>
      <c r="AB13" s="24">
        <v>2948248</v>
      </c>
      <c r="AC13" s="24">
        <v>442816</v>
      </c>
      <c r="AD13" s="24"/>
      <c r="AE13" s="24"/>
      <c r="AF13" s="24"/>
      <c r="AG13" s="24"/>
      <c r="AH13" s="24">
        <v>54626</v>
      </c>
      <c r="AI13" s="24">
        <v>3363</v>
      </c>
      <c r="AJ13" s="24">
        <v>279716</v>
      </c>
      <c r="AK13" s="24">
        <v>24307</v>
      </c>
      <c r="AL13" s="24">
        <v>24271</v>
      </c>
      <c r="AM13" s="24">
        <v>3601.29</v>
      </c>
      <c r="AN13" s="24">
        <v>40868</v>
      </c>
      <c r="AO13" s="24">
        <v>9254.81</v>
      </c>
      <c r="AP13" s="24"/>
      <c r="AQ13" s="24"/>
      <c r="AR13" s="24"/>
      <c r="AS13" s="24"/>
      <c r="AT13" s="24">
        <v>548557</v>
      </c>
      <c r="AU13" s="73">
        <v>80849.41</v>
      </c>
      <c r="AV13" s="24">
        <v>1869092</v>
      </c>
      <c r="AW13" s="73">
        <v>255354.32990000001</v>
      </c>
      <c r="AX13" s="24">
        <v>761828</v>
      </c>
      <c r="AY13" s="24">
        <v>36547</v>
      </c>
      <c r="AZ13" s="24">
        <v>2090852</v>
      </c>
      <c r="BA13" s="24">
        <v>89482</v>
      </c>
      <c r="BB13" s="24">
        <v>2470037</v>
      </c>
      <c r="BC13" s="24">
        <v>207278.3</v>
      </c>
      <c r="BD13" s="24">
        <v>8475102</v>
      </c>
      <c r="BE13" s="24">
        <v>861285.1</v>
      </c>
      <c r="BF13" s="24">
        <v>6198405</v>
      </c>
      <c r="BG13" s="24">
        <v>348492</v>
      </c>
      <c r="BH13" s="24">
        <v>26484078</v>
      </c>
      <c r="BI13" s="24">
        <v>1448823</v>
      </c>
      <c r="BJ13" s="24">
        <v>1690677</v>
      </c>
      <c r="BK13" s="24">
        <v>184361.41</v>
      </c>
      <c r="BL13" s="24">
        <v>6802286</v>
      </c>
      <c r="BM13" s="24">
        <v>700184.77</v>
      </c>
      <c r="BN13" s="24">
        <v>298100</v>
      </c>
      <c r="BO13" s="24">
        <v>9354</v>
      </c>
      <c r="BP13" s="24">
        <v>722951</v>
      </c>
      <c r="BQ13" s="24">
        <v>30111</v>
      </c>
      <c r="BR13" s="24">
        <v>504026</v>
      </c>
      <c r="BS13" s="24">
        <v>31690.78</v>
      </c>
      <c r="BT13" s="24">
        <v>1714032</v>
      </c>
      <c r="BU13" s="24">
        <v>112516</v>
      </c>
      <c r="BV13" s="24">
        <v>360141</v>
      </c>
      <c r="BW13" s="24">
        <v>34589</v>
      </c>
      <c r="BX13" s="24">
        <v>1174532</v>
      </c>
      <c r="BY13" s="24">
        <v>97011</v>
      </c>
      <c r="BZ13" s="24">
        <v>132454</v>
      </c>
      <c r="CA13" s="24">
        <v>32030</v>
      </c>
      <c r="CB13" s="24">
        <v>388129</v>
      </c>
      <c r="CC13" s="24">
        <v>94702</v>
      </c>
      <c r="CD13" s="24"/>
      <c r="CE13" s="24"/>
      <c r="CF13" s="24"/>
      <c r="CG13" s="24"/>
      <c r="CH13" s="24"/>
      <c r="CI13" s="24"/>
      <c r="CJ13" s="24">
        <v>7815370</v>
      </c>
      <c r="CK13" s="24">
        <v>648440</v>
      </c>
      <c r="CL13" s="24">
        <v>2694792</v>
      </c>
      <c r="CM13" s="24">
        <v>364375.29</v>
      </c>
      <c r="CN13" s="24">
        <v>11029022</v>
      </c>
      <c r="CO13" s="24">
        <v>1322214</v>
      </c>
      <c r="CP13" s="24">
        <v>21928</v>
      </c>
      <c r="CQ13" s="24">
        <v>4149</v>
      </c>
      <c r="CR13" s="24">
        <v>75180</v>
      </c>
      <c r="CS13" s="24">
        <v>11599</v>
      </c>
      <c r="CT13" s="24">
        <v>1152772</v>
      </c>
      <c r="CU13" s="24">
        <v>131666</v>
      </c>
      <c r="CV13" s="24">
        <v>5604919</v>
      </c>
      <c r="CW13" s="24">
        <v>619103</v>
      </c>
      <c r="CX13" s="24">
        <v>2563</v>
      </c>
      <c r="CY13" s="24">
        <v>354</v>
      </c>
      <c r="CZ13" s="24">
        <v>3145</v>
      </c>
      <c r="DA13" s="24">
        <v>409</v>
      </c>
      <c r="DB13" s="24">
        <v>255487</v>
      </c>
      <c r="DC13" s="24">
        <v>49735.5</v>
      </c>
      <c r="DD13" s="24">
        <v>838045</v>
      </c>
      <c r="DE13" s="24">
        <v>182557.5</v>
      </c>
      <c r="DF13" s="24">
        <v>551998</v>
      </c>
      <c r="DG13" s="24">
        <v>73615</v>
      </c>
      <c r="DH13" s="24">
        <v>1926884</v>
      </c>
      <c r="DI13" s="24">
        <v>317257</v>
      </c>
      <c r="DJ13" s="24">
        <v>1473003</v>
      </c>
      <c r="DK13" s="24">
        <v>137600.28</v>
      </c>
      <c r="DL13" s="24">
        <v>3862390</v>
      </c>
      <c r="DM13" s="24">
        <v>470331.11</v>
      </c>
      <c r="DN13" s="24">
        <v>717436</v>
      </c>
      <c r="DO13" s="24">
        <v>69287.3462</v>
      </c>
      <c r="DP13" s="24">
        <v>2607100</v>
      </c>
      <c r="DQ13" s="24">
        <v>235634.41500000001</v>
      </c>
      <c r="DR13" s="24">
        <v>1511821</v>
      </c>
      <c r="DS13" s="24">
        <v>213705</v>
      </c>
      <c r="DT13" s="24">
        <v>4295469</v>
      </c>
      <c r="DU13" s="24">
        <v>540129</v>
      </c>
      <c r="DV13" s="24">
        <v>2588466</v>
      </c>
      <c r="DW13" s="24">
        <v>206911</v>
      </c>
      <c r="DX13" s="24">
        <v>10129886</v>
      </c>
      <c r="DY13" s="24">
        <v>774266</v>
      </c>
      <c r="DZ13" s="24"/>
      <c r="EA13" s="24"/>
      <c r="EB13" s="24"/>
      <c r="EC13" s="24"/>
      <c r="ED13" s="24">
        <v>409352</v>
      </c>
      <c r="EE13" s="24">
        <v>81657</v>
      </c>
      <c r="EF13" s="24">
        <v>1282195</v>
      </c>
      <c r="EG13" s="24">
        <v>283087</v>
      </c>
      <c r="EH13" s="24">
        <f t="shared" si="0"/>
        <v>35063386</v>
      </c>
      <c r="EI13" s="24">
        <f t="shared" si="1"/>
        <v>2862109.1525400002</v>
      </c>
      <c r="EJ13" s="24">
        <f t="shared" si="2"/>
        <v>130183122</v>
      </c>
      <c r="EK13" s="24">
        <f t="shared" si="3"/>
        <v>11256913.447679998</v>
      </c>
    </row>
    <row r="14" spans="1:141" x14ac:dyDescent="0.25">
      <c r="A14" s="21" t="s">
        <v>263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>
        <v>166</v>
      </c>
      <c r="M14" s="21">
        <v>3.81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>
        <v>4</v>
      </c>
      <c r="AU14" s="56">
        <v>0.28999999999999998</v>
      </c>
      <c r="AV14" s="21">
        <v>809</v>
      </c>
      <c r="AW14" s="56">
        <v>39.44</v>
      </c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>
        <v>-0.04</v>
      </c>
      <c r="BL14" s="21"/>
      <c r="BM14" s="21">
        <v>-0.39</v>
      </c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>
        <v>0</v>
      </c>
      <c r="CM14" s="21">
        <v>0</v>
      </c>
      <c r="CN14" s="21">
        <v>0</v>
      </c>
      <c r="CO14" s="21">
        <v>0</v>
      </c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>
        <v>596</v>
      </c>
      <c r="DK14" s="21">
        <v>67</v>
      </c>
      <c r="DL14" s="21">
        <v>2821</v>
      </c>
      <c r="DM14" s="21">
        <v>324</v>
      </c>
      <c r="DN14" s="21">
        <v>0</v>
      </c>
      <c r="DO14" s="21">
        <v>0</v>
      </c>
      <c r="DP14" s="21">
        <v>0</v>
      </c>
      <c r="DQ14" s="21">
        <v>0</v>
      </c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>
        <f t="shared" si="0"/>
        <v>600</v>
      </c>
      <c r="EI14" s="21">
        <f t="shared" si="1"/>
        <v>67.25</v>
      </c>
      <c r="EJ14" s="21">
        <f>D14+H14+L14+P14+T14+X14+AB14+AF14+AJ14+AN14+AR14+AV14+AZ14+BD14+BH14+BL14+BP14+BT14+BX14+CB14+CF14+CJ14+CN14+CR14+CZ14+DD14+DH14+DL14+DP14+DT14+DX14+EB14+EF14</f>
        <v>3796</v>
      </c>
      <c r="EK14" s="21">
        <f>E14+I14+M14+Q14+U14+Y14+AC14+AG14+AK14+AO14+AS14+AW14+BA14+BE14+BI14+BM14+BQ14+BU14+BY14+CC14+CG14+CK14+CO14+CS14+DA14+DE14+DI14+DM14+DQ14+DU14+DY14+EC14+EG14</f>
        <v>366.86</v>
      </c>
    </row>
    <row r="15" spans="1:141" s="15" customFormat="1" x14ac:dyDescent="0.25">
      <c r="A15" s="24" t="s">
        <v>264</v>
      </c>
      <c r="B15" s="24">
        <v>136815</v>
      </c>
      <c r="C15" s="24">
        <v>5300.0363399999997</v>
      </c>
      <c r="D15" s="24">
        <v>223121</v>
      </c>
      <c r="E15" s="24">
        <v>14188.99278</v>
      </c>
      <c r="F15" s="24">
        <v>100172</v>
      </c>
      <c r="G15" s="24">
        <v>18127</v>
      </c>
      <c r="H15" s="24">
        <v>281126</v>
      </c>
      <c r="I15" s="24">
        <v>49680</v>
      </c>
      <c r="J15" s="24">
        <v>1471441</v>
      </c>
      <c r="K15" s="24">
        <v>47425.51</v>
      </c>
      <c r="L15" s="24">
        <v>7836105</v>
      </c>
      <c r="M15" s="24">
        <v>690087.24</v>
      </c>
      <c r="N15" s="24">
        <v>421931</v>
      </c>
      <c r="O15" s="24">
        <v>90653</v>
      </c>
      <c r="P15" s="24">
        <v>1182691</v>
      </c>
      <c r="Q15" s="24">
        <v>219444</v>
      </c>
      <c r="R15" s="24">
        <v>7607720</v>
      </c>
      <c r="S15" s="24">
        <v>339402</v>
      </c>
      <c r="T15" s="24">
        <v>20720422</v>
      </c>
      <c r="U15" s="24">
        <v>1105941</v>
      </c>
      <c r="V15" s="24">
        <v>1094209</v>
      </c>
      <c r="W15" s="24">
        <v>61740</v>
      </c>
      <c r="X15" s="24">
        <v>3085251</v>
      </c>
      <c r="Y15" s="24">
        <v>225805</v>
      </c>
      <c r="Z15" s="24">
        <v>961130</v>
      </c>
      <c r="AA15" s="24">
        <v>125916</v>
      </c>
      <c r="AB15" s="24">
        <v>2948248</v>
      </c>
      <c r="AC15" s="24">
        <v>442816</v>
      </c>
      <c r="AD15" s="24">
        <v>68065</v>
      </c>
      <c r="AE15" s="24">
        <v>12906</v>
      </c>
      <c r="AF15" s="24">
        <v>239884</v>
      </c>
      <c r="AG15" s="24">
        <v>48482</v>
      </c>
      <c r="AH15" s="24">
        <v>54626</v>
      </c>
      <c r="AI15" s="24">
        <v>3363</v>
      </c>
      <c r="AJ15" s="24">
        <v>279716</v>
      </c>
      <c r="AK15" s="24">
        <v>24307</v>
      </c>
      <c r="AL15" s="24">
        <v>24271</v>
      </c>
      <c r="AM15" s="24">
        <v>3601.29</v>
      </c>
      <c r="AN15" s="24">
        <v>40868</v>
      </c>
      <c r="AO15" s="24">
        <v>9254.81</v>
      </c>
      <c r="AP15" s="24">
        <v>1492</v>
      </c>
      <c r="AQ15" s="24">
        <v>11476.58</v>
      </c>
      <c r="AR15" s="24">
        <v>5386</v>
      </c>
      <c r="AS15" s="24">
        <v>41225.51</v>
      </c>
      <c r="AT15" s="24">
        <v>548561</v>
      </c>
      <c r="AU15" s="73">
        <v>80849.710000000006</v>
      </c>
      <c r="AV15" s="24">
        <v>1869901</v>
      </c>
      <c r="AW15" s="73">
        <v>255393.77</v>
      </c>
      <c r="AX15" s="24">
        <v>761828</v>
      </c>
      <c r="AY15" s="24">
        <v>36547</v>
      </c>
      <c r="AZ15" s="24">
        <v>2090852</v>
      </c>
      <c r="BA15" s="24">
        <v>89482</v>
      </c>
      <c r="BB15" s="24">
        <v>2470037</v>
      </c>
      <c r="BC15" s="24">
        <v>207278.3</v>
      </c>
      <c r="BD15" s="24">
        <v>8475102</v>
      </c>
      <c r="BE15" s="24">
        <v>861285.1</v>
      </c>
      <c r="BF15" s="24">
        <v>6198405</v>
      </c>
      <c r="BG15" s="24">
        <v>348492</v>
      </c>
      <c r="BH15" s="24">
        <v>26484078</v>
      </c>
      <c r="BI15" s="24">
        <v>1448823</v>
      </c>
      <c r="BJ15" s="24">
        <v>1690677</v>
      </c>
      <c r="BK15" s="24">
        <v>184361.37</v>
      </c>
      <c r="BL15" s="24">
        <v>6802286</v>
      </c>
      <c r="BM15" s="24">
        <v>700184.38</v>
      </c>
      <c r="BN15" s="24">
        <v>298100</v>
      </c>
      <c r="BO15" s="24">
        <v>9354</v>
      </c>
      <c r="BP15" s="24">
        <v>722951</v>
      </c>
      <c r="BQ15" s="24">
        <v>30111</v>
      </c>
      <c r="BR15" s="24">
        <v>504026</v>
      </c>
      <c r="BS15" s="24">
        <v>31690.78</v>
      </c>
      <c r="BT15" s="24">
        <v>1714032</v>
      </c>
      <c r="BU15" s="24">
        <v>112516</v>
      </c>
      <c r="BV15" s="24">
        <v>360141</v>
      </c>
      <c r="BW15" s="24">
        <v>34589</v>
      </c>
      <c r="BX15" s="24">
        <v>1174532</v>
      </c>
      <c r="BY15" s="24">
        <v>97011</v>
      </c>
      <c r="BZ15" s="24">
        <v>132454</v>
      </c>
      <c r="CA15" s="24">
        <v>32030</v>
      </c>
      <c r="CB15" s="24">
        <v>388129</v>
      </c>
      <c r="CC15" s="24">
        <v>94702</v>
      </c>
      <c r="CD15" s="24"/>
      <c r="CE15" s="24"/>
      <c r="CF15" s="24"/>
      <c r="CG15" s="24"/>
      <c r="CH15" s="24"/>
      <c r="CI15" s="24"/>
      <c r="CJ15" s="24">
        <v>7815370</v>
      </c>
      <c r="CK15" s="24">
        <v>648440</v>
      </c>
      <c r="CL15" s="24">
        <v>2694792</v>
      </c>
      <c r="CM15" s="24">
        <v>364375.29</v>
      </c>
      <c r="CN15" s="24">
        <v>11029022</v>
      </c>
      <c r="CO15" s="24">
        <v>1322214</v>
      </c>
      <c r="CP15" s="24">
        <v>21928</v>
      </c>
      <c r="CQ15" s="24">
        <v>4149</v>
      </c>
      <c r="CR15" s="24">
        <v>75180</v>
      </c>
      <c r="CS15" s="24">
        <v>11599</v>
      </c>
      <c r="CT15" s="24">
        <v>1152772</v>
      </c>
      <c r="CU15" s="24">
        <v>131666</v>
      </c>
      <c r="CV15" s="24">
        <v>5604919</v>
      </c>
      <c r="CW15" s="24">
        <v>619103</v>
      </c>
      <c r="CX15" s="24">
        <v>2563</v>
      </c>
      <c r="CY15" s="24">
        <v>354</v>
      </c>
      <c r="CZ15" s="24">
        <v>3145</v>
      </c>
      <c r="DA15" s="24">
        <v>409</v>
      </c>
      <c r="DB15" s="24">
        <v>255487</v>
      </c>
      <c r="DC15" s="24">
        <v>49735.5</v>
      </c>
      <c r="DD15" s="24">
        <v>838045</v>
      </c>
      <c r="DE15" s="24">
        <v>182557.5</v>
      </c>
      <c r="DF15" s="24">
        <v>551998</v>
      </c>
      <c r="DG15" s="24">
        <v>73615</v>
      </c>
      <c r="DH15" s="24">
        <v>1926884</v>
      </c>
      <c r="DI15" s="24">
        <v>317257</v>
      </c>
      <c r="DJ15" s="24">
        <v>1473599</v>
      </c>
      <c r="DK15" s="24">
        <v>137667.12</v>
      </c>
      <c r="DL15" s="24">
        <v>3865211</v>
      </c>
      <c r="DM15" s="24">
        <v>470654.69</v>
      </c>
      <c r="DN15" s="24">
        <v>717436</v>
      </c>
      <c r="DO15" s="24">
        <v>69287.350000000006</v>
      </c>
      <c r="DP15" s="24">
        <v>2607100</v>
      </c>
      <c r="DQ15" s="24">
        <v>235634.41</v>
      </c>
      <c r="DR15" s="24">
        <v>1511821</v>
      </c>
      <c r="DS15" s="24">
        <v>213705</v>
      </c>
      <c r="DT15" s="24">
        <v>4295469</v>
      </c>
      <c r="DU15" s="24">
        <v>540129</v>
      </c>
      <c r="DV15" s="24">
        <v>2588466</v>
      </c>
      <c r="DW15" s="24">
        <v>206911</v>
      </c>
      <c r="DX15" s="24">
        <v>10129886</v>
      </c>
      <c r="DY15" s="24">
        <v>774266</v>
      </c>
      <c r="DZ15" s="24"/>
      <c r="EA15" s="24"/>
      <c r="EB15" s="24"/>
      <c r="EC15" s="24"/>
      <c r="ED15" s="24">
        <v>409352</v>
      </c>
      <c r="EE15" s="24">
        <v>81657</v>
      </c>
      <c r="EF15" s="24">
        <v>1282195</v>
      </c>
      <c r="EG15" s="24">
        <v>283087</v>
      </c>
      <c r="EH15" s="24">
        <f t="shared" si="0"/>
        <v>35133543</v>
      </c>
      <c r="EI15" s="24">
        <f t="shared" si="1"/>
        <v>2886558.8363400004</v>
      </c>
      <c r="EJ15" s="24">
        <f t="shared" si="2"/>
        <v>130432188</v>
      </c>
      <c r="EK15" s="24">
        <f t="shared" si="3"/>
        <v>11346987.402779998</v>
      </c>
    </row>
  </sheetData>
  <mergeCells count="105">
    <mergeCell ref="EH3:EK3"/>
    <mergeCell ref="EH4:EI4"/>
    <mergeCell ref="EJ4:EK4"/>
    <mergeCell ref="DZ3:EC3"/>
    <mergeCell ref="DZ4:EA4"/>
    <mergeCell ref="EB4:EC4"/>
    <mergeCell ref="ED3:EG3"/>
    <mergeCell ref="ED4:EE4"/>
    <mergeCell ref="EF4:EG4"/>
    <mergeCell ref="DN4:DO4"/>
    <mergeCell ref="DP4:DQ4"/>
    <mergeCell ref="DR3:DU3"/>
    <mergeCell ref="DR4:DS4"/>
    <mergeCell ref="DT4:DU4"/>
    <mergeCell ref="DV3:DY3"/>
    <mergeCell ref="DV4:DW4"/>
    <mergeCell ref="DX4:DY4"/>
    <mergeCell ref="DB4:DC4"/>
    <mergeCell ref="DD4:DE4"/>
    <mergeCell ref="DF3:DI3"/>
    <mergeCell ref="DF4:DG4"/>
    <mergeCell ref="DH4:DI4"/>
    <mergeCell ref="DJ3:DM3"/>
    <mergeCell ref="DJ4:DK4"/>
    <mergeCell ref="DL4:DM4"/>
    <mergeCell ref="DB3:DE3"/>
    <mergeCell ref="DN3:DQ3"/>
    <mergeCell ref="CL4:CM4"/>
    <mergeCell ref="CN4:CO4"/>
    <mergeCell ref="CP3:CS3"/>
    <mergeCell ref="CP4:CQ4"/>
    <mergeCell ref="CR4:CS4"/>
    <mergeCell ref="CX3:DA3"/>
    <mergeCell ref="CX4:CY4"/>
    <mergeCell ref="CZ4:DA4"/>
    <mergeCell ref="BZ4:CA4"/>
    <mergeCell ref="CB4:CC4"/>
    <mergeCell ref="CD3:CG3"/>
    <mergeCell ref="CD4:CE4"/>
    <mergeCell ref="CF4:CG4"/>
    <mergeCell ref="CH3:CK3"/>
    <mergeCell ref="CH4:CI4"/>
    <mergeCell ref="CJ4:CK4"/>
    <mergeCell ref="BZ3:CC3"/>
    <mergeCell ref="CL3:CO3"/>
    <mergeCell ref="CT3:CW3"/>
    <mergeCell ref="CT4:CU4"/>
    <mergeCell ref="CV4:CW4"/>
    <mergeCell ref="BN4:BO4"/>
    <mergeCell ref="BP4:BQ4"/>
    <mergeCell ref="BR3:BU3"/>
    <mergeCell ref="BR4:BS4"/>
    <mergeCell ref="BT4:BU4"/>
    <mergeCell ref="BV3:BY3"/>
    <mergeCell ref="BV4:BW4"/>
    <mergeCell ref="BX4:BY4"/>
    <mergeCell ref="BB4:BC4"/>
    <mergeCell ref="BD4:BE4"/>
    <mergeCell ref="BF4:BG4"/>
    <mergeCell ref="BH4:BI4"/>
    <mergeCell ref="BF3:BI3"/>
    <mergeCell ref="BJ3:BM3"/>
    <mergeCell ref="BJ4:BK4"/>
    <mergeCell ref="BL4:BM4"/>
    <mergeCell ref="BB3:BE3"/>
    <mergeCell ref="BN3:BQ3"/>
    <mergeCell ref="AN4:AO4"/>
    <mergeCell ref="AT3:AW3"/>
    <mergeCell ref="AT4:AU4"/>
    <mergeCell ref="AV4:AW4"/>
    <mergeCell ref="AX3:BA3"/>
    <mergeCell ref="AX4:AY4"/>
    <mergeCell ref="AZ4:BA4"/>
    <mergeCell ref="AD4:AE4"/>
    <mergeCell ref="AF4:AG4"/>
    <mergeCell ref="AH3:AK3"/>
    <mergeCell ref="AH4:AI4"/>
    <mergeCell ref="AJ4:AK4"/>
    <mergeCell ref="AP3:AS3"/>
    <mergeCell ref="AP4:AQ4"/>
    <mergeCell ref="AR4:AS4"/>
    <mergeCell ref="AL3:AO3"/>
    <mergeCell ref="AL4:AM4"/>
    <mergeCell ref="AD3:AG3"/>
    <mergeCell ref="R4:S4"/>
    <mergeCell ref="T4:U4"/>
    <mergeCell ref="V3:Y3"/>
    <mergeCell ref="V4:W4"/>
    <mergeCell ref="X4:Y4"/>
    <mergeCell ref="Z3:AC3"/>
    <mergeCell ref="Z4:AA4"/>
    <mergeCell ref="AB4:AC4"/>
    <mergeCell ref="J3:M3"/>
    <mergeCell ref="J4:K4"/>
    <mergeCell ref="L4:M4"/>
    <mergeCell ref="R3:U3"/>
    <mergeCell ref="F3:I3"/>
    <mergeCell ref="F4:G4"/>
    <mergeCell ref="H4:I4"/>
    <mergeCell ref="B4:C4"/>
    <mergeCell ref="D4:E4"/>
    <mergeCell ref="B3:E3"/>
    <mergeCell ref="N3:Q3"/>
    <mergeCell ref="N4:O4"/>
    <mergeCell ref="P4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9"/>
  <sheetViews>
    <sheetView workbookViewId="0">
      <pane xSplit="1" ySplit="3" topLeftCell="B4" activePane="bottomRight" state="frozen"/>
      <selection activeCell="M15" sqref="M15"/>
      <selection pane="topRight" activeCell="M15" sqref="M15"/>
      <selection pane="bottomLeft" activeCell="M15" sqref="M15"/>
      <selection pane="bottomRight" activeCell="B2" sqref="B2"/>
    </sheetView>
  </sheetViews>
  <sheetFormatPr defaultRowHeight="15" x14ac:dyDescent="0.25"/>
  <cols>
    <col min="1" max="1" width="41.85546875" style="6" customWidth="1"/>
    <col min="2" max="11" width="14.85546875" style="4" customWidth="1"/>
    <col min="12" max="13" width="14.85546875" style="161" customWidth="1"/>
    <col min="14" max="71" width="14.85546875" style="4" customWidth="1"/>
    <col min="72" max="16384" width="9.140625" style="4"/>
  </cols>
  <sheetData>
    <row r="1" spans="1:71" s="17" customFormat="1" ht="18.75" x14ac:dyDescent="0.3">
      <c r="A1" s="27" t="s">
        <v>149</v>
      </c>
      <c r="L1" s="160"/>
      <c r="M1" s="160"/>
    </row>
    <row r="2" spans="1:71" x14ac:dyDescent="0.25">
      <c r="A2" s="6" t="s">
        <v>43</v>
      </c>
    </row>
    <row r="3" spans="1:71" s="15" customFormat="1" x14ac:dyDescent="0.25">
      <c r="A3" s="23" t="s">
        <v>0</v>
      </c>
      <c r="B3" s="200" t="s">
        <v>1</v>
      </c>
      <c r="C3" s="200"/>
      <c r="D3" s="200" t="s">
        <v>2</v>
      </c>
      <c r="E3" s="200"/>
      <c r="F3" s="200" t="s">
        <v>3</v>
      </c>
      <c r="G3" s="200"/>
      <c r="H3" s="200" t="s">
        <v>4</v>
      </c>
      <c r="I3" s="200"/>
      <c r="J3" s="200" t="s">
        <v>5</v>
      </c>
      <c r="K3" s="200"/>
      <c r="L3" s="200" t="s">
        <v>6</v>
      </c>
      <c r="M3" s="200"/>
      <c r="N3" s="200" t="s">
        <v>7</v>
      </c>
      <c r="O3" s="200"/>
      <c r="P3" s="200" t="s">
        <v>8</v>
      </c>
      <c r="Q3" s="200"/>
      <c r="R3" s="200" t="s">
        <v>9</v>
      </c>
      <c r="S3" s="200"/>
      <c r="T3" s="200" t="s">
        <v>10</v>
      </c>
      <c r="U3" s="200"/>
      <c r="V3" s="200" t="s">
        <v>11</v>
      </c>
      <c r="W3" s="200"/>
      <c r="X3" s="200" t="s">
        <v>12</v>
      </c>
      <c r="Y3" s="200"/>
      <c r="Z3" s="200" t="s">
        <v>13</v>
      </c>
      <c r="AA3" s="200"/>
      <c r="AB3" s="200" t="s">
        <v>14</v>
      </c>
      <c r="AC3" s="200"/>
      <c r="AD3" s="200" t="s">
        <v>15</v>
      </c>
      <c r="AE3" s="200"/>
      <c r="AF3" s="200" t="s">
        <v>16</v>
      </c>
      <c r="AG3" s="200"/>
      <c r="AH3" s="200" t="s">
        <v>17</v>
      </c>
      <c r="AI3" s="200"/>
      <c r="AJ3" s="200" t="s">
        <v>18</v>
      </c>
      <c r="AK3" s="200"/>
      <c r="AL3" s="200" t="s">
        <v>19</v>
      </c>
      <c r="AM3" s="200"/>
      <c r="AN3" s="200" t="s">
        <v>20</v>
      </c>
      <c r="AO3" s="200"/>
      <c r="AP3" s="200" t="s">
        <v>21</v>
      </c>
      <c r="AQ3" s="200"/>
      <c r="AR3" s="200" t="s">
        <v>147</v>
      </c>
      <c r="AS3" s="200"/>
      <c r="AT3" s="200" t="s">
        <v>148</v>
      </c>
      <c r="AU3" s="200"/>
      <c r="AV3" s="200" t="s">
        <v>22</v>
      </c>
      <c r="AW3" s="200"/>
      <c r="AX3" s="200" t="s">
        <v>23</v>
      </c>
      <c r="AY3" s="200"/>
      <c r="AZ3" s="200" t="s">
        <v>332</v>
      </c>
      <c r="BA3" s="200"/>
      <c r="BB3" s="200" t="s">
        <v>24</v>
      </c>
      <c r="BC3" s="200"/>
      <c r="BD3" s="200" t="s">
        <v>25</v>
      </c>
      <c r="BE3" s="200"/>
      <c r="BF3" s="200" t="s">
        <v>26</v>
      </c>
      <c r="BG3" s="200"/>
      <c r="BH3" s="200" t="s">
        <v>27</v>
      </c>
      <c r="BI3" s="200"/>
      <c r="BJ3" s="200" t="s">
        <v>28</v>
      </c>
      <c r="BK3" s="200"/>
      <c r="BL3" s="200" t="s">
        <v>29</v>
      </c>
      <c r="BM3" s="200"/>
      <c r="BN3" s="200" t="s">
        <v>30</v>
      </c>
      <c r="BO3" s="200"/>
      <c r="BP3" s="200" t="s">
        <v>31</v>
      </c>
      <c r="BQ3" s="200"/>
      <c r="BR3" s="200" t="s">
        <v>250</v>
      </c>
      <c r="BS3" s="200"/>
    </row>
    <row r="4" spans="1:71" s="42" customFormat="1" ht="45" x14ac:dyDescent="0.25">
      <c r="A4" s="43"/>
      <c r="B4" s="43" t="s">
        <v>321</v>
      </c>
      <c r="C4" s="43" t="s">
        <v>322</v>
      </c>
      <c r="D4" s="43" t="s">
        <v>321</v>
      </c>
      <c r="E4" s="43" t="s">
        <v>322</v>
      </c>
      <c r="F4" s="43" t="s">
        <v>321</v>
      </c>
      <c r="G4" s="43" t="s">
        <v>322</v>
      </c>
      <c r="H4" s="43" t="s">
        <v>321</v>
      </c>
      <c r="I4" s="43" t="s">
        <v>322</v>
      </c>
      <c r="J4" s="43" t="s">
        <v>321</v>
      </c>
      <c r="K4" s="43" t="s">
        <v>322</v>
      </c>
      <c r="L4" s="111" t="s">
        <v>321</v>
      </c>
      <c r="M4" s="111" t="s">
        <v>322</v>
      </c>
      <c r="N4" s="43" t="s">
        <v>321</v>
      </c>
      <c r="O4" s="43" t="s">
        <v>322</v>
      </c>
      <c r="P4" s="43" t="s">
        <v>321</v>
      </c>
      <c r="Q4" s="43" t="s">
        <v>322</v>
      </c>
      <c r="R4" s="43" t="s">
        <v>321</v>
      </c>
      <c r="S4" s="43" t="s">
        <v>322</v>
      </c>
      <c r="T4" s="43" t="s">
        <v>321</v>
      </c>
      <c r="U4" s="43" t="s">
        <v>322</v>
      </c>
      <c r="V4" s="43" t="s">
        <v>321</v>
      </c>
      <c r="W4" s="43" t="s">
        <v>322</v>
      </c>
      <c r="X4" s="43" t="s">
        <v>321</v>
      </c>
      <c r="Y4" s="43" t="s">
        <v>322</v>
      </c>
      <c r="Z4" s="43" t="s">
        <v>321</v>
      </c>
      <c r="AA4" s="43" t="s">
        <v>322</v>
      </c>
      <c r="AB4" s="43" t="s">
        <v>321</v>
      </c>
      <c r="AC4" s="43" t="s">
        <v>322</v>
      </c>
      <c r="AD4" s="43" t="s">
        <v>321</v>
      </c>
      <c r="AE4" s="43" t="s">
        <v>322</v>
      </c>
      <c r="AF4" s="43" t="s">
        <v>321</v>
      </c>
      <c r="AG4" s="43" t="s">
        <v>322</v>
      </c>
      <c r="AH4" s="43" t="s">
        <v>321</v>
      </c>
      <c r="AI4" s="43" t="s">
        <v>322</v>
      </c>
      <c r="AJ4" s="43" t="s">
        <v>321</v>
      </c>
      <c r="AK4" s="43" t="s">
        <v>322</v>
      </c>
      <c r="AL4" s="43" t="s">
        <v>321</v>
      </c>
      <c r="AM4" s="43" t="s">
        <v>322</v>
      </c>
      <c r="AN4" s="43" t="s">
        <v>321</v>
      </c>
      <c r="AO4" s="43" t="s">
        <v>322</v>
      </c>
      <c r="AP4" s="43" t="s">
        <v>321</v>
      </c>
      <c r="AQ4" s="43" t="s">
        <v>322</v>
      </c>
      <c r="AR4" s="43" t="s">
        <v>321</v>
      </c>
      <c r="AS4" s="43" t="s">
        <v>322</v>
      </c>
      <c r="AT4" s="43" t="s">
        <v>321</v>
      </c>
      <c r="AU4" s="43" t="s">
        <v>322</v>
      </c>
      <c r="AV4" s="43" t="s">
        <v>321</v>
      </c>
      <c r="AW4" s="43" t="s">
        <v>322</v>
      </c>
      <c r="AX4" s="43" t="s">
        <v>321</v>
      </c>
      <c r="AY4" s="43" t="s">
        <v>322</v>
      </c>
      <c r="AZ4" s="43" t="s">
        <v>321</v>
      </c>
      <c r="BA4" s="43" t="s">
        <v>322</v>
      </c>
      <c r="BB4" s="43" t="s">
        <v>321</v>
      </c>
      <c r="BC4" s="43" t="s">
        <v>322</v>
      </c>
      <c r="BD4" s="43" t="s">
        <v>321</v>
      </c>
      <c r="BE4" s="43" t="s">
        <v>322</v>
      </c>
      <c r="BF4" s="43" t="s">
        <v>321</v>
      </c>
      <c r="BG4" s="43" t="s">
        <v>322</v>
      </c>
      <c r="BH4" s="43" t="s">
        <v>321</v>
      </c>
      <c r="BI4" s="43" t="s">
        <v>322</v>
      </c>
      <c r="BJ4" s="43" t="s">
        <v>321</v>
      </c>
      <c r="BK4" s="43" t="s">
        <v>322</v>
      </c>
      <c r="BL4" s="43" t="s">
        <v>321</v>
      </c>
      <c r="BM4" s="43" t="s">
        <v>322</v>
      </c>
      <c r="BN4" s="43" t="s">
        <v>321</v>
      </c>
      <c r="BO4" s="43" t="s">
        <v>322</v>
      </c>
      <c r="BP4" s="43" t="s">
        <v>321</v>
      </c>
      <c r="BQ4" s="43" t="s">
        <v>322</v>
      </c>
      <c r="BR4" s="43" t="s">
        <v>321</v>
      </c>
      <c r="BS4" s="43" t="s">
        <v>322</v>
      </c>
    </row>
    <row r="5" spans="1:71" s="15" customFormat="1" x14ac:dyDescent="0.25">
      <c r="A5" s="23" t="s">
        <v>44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119"/>
      <c r="M5" s="119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1:71" x14ac:dyDescent="0.25">
      <c r="A6" s="25" t="s">
        <v>45</v>
      </c>
      <c r="B6" s="21"/>
      <c r="C6" s="21"/>
      <c r="D6" s="21"/>
      <c r="E6" s="21"/>
      <c r="F6" s="21"/>
      <c r="G6" s="21"/>
      <c r="H6" s="21"/>
      <c r="I6" s="21"/>
      <c r="J6" s="21">
        <v>99129</v>
      </c>
      <c r="K6" s="21">
        <v>456627</v>
      </c>
      <c r="L6" s="119">
        <v>42990</v>
      </c>
      <c r="M6" s="119">
        <v>60649</v>
      </c>
      <c r="N6" s="21">
        <v>220467</v>
      </c>
      <c r="O6" s="21">
        <v>1107857</v>
      </c>
      <c r="P6" s="21"/>
      <c r="Q6" s="21"/>
      <c r="R6" s="21">
        <v>280804</v>
      </c>
      <c r="S6" s="21">
        <v>99273</v>
      </c>
      <c r="T6" s="21">
        <v>-375</v>
      </c>
      <c r="U6" s="21">
        <v>-18386</v>
      </c>
      <c r="V6" s="21"/>
      <c r="W6" s="21"/>
      <c r="X6" s="21">
        <v>-106698</v>
      </c>
      <c r="Y6" s="21">
        <v>-263413</v>
      </c>
      <c r="Z6" s="21">
        <v>20145</v>
      </c>
      <c r="AA6" s="21">
        <v>-43229</v>
      </c>
      <c r="AB6" s="21">
        <v>150244</v>
      </c>
      <c r="AC6" s="21">
        <v>333361</v>
      </c>
      <c r="AD6" s="21">
        <v>38923</v>
      </c>
      <c r="AE6" s="21">
        <v>567110</v>
      </c>
      <c r="AF6" s="21">
        <v>21832</v>
      </c>
      <c r="AG6" s="21">
        <v>332756</v>
      </c>
      <c r="AH6" s="21">
        <v>-5688</v>
      </c>
      <c r="AI6" s="21">
        <v>-13874</v>
      </c>
      <c r="AJ6" s="21">
        <v>-48918</v>
      </c>
      <c r="AK6" s="21">
        <v>-144623</v>
      </c>
      <c r="AL6" s="21">
        <v>-36313</v>
      </c>
      <c r="AM6" s="21">
        <v>-198731</v>
      </c>
      <c r="AN6" s="21"/>
      <c r="AO6" s="21"/>
      <c r="AP6" s="21">
        <v>2072445.027774239</v>
      </c>
      <c r="AQ6" s="21">
        <v>3359582.0556477383</v>
      </c>
      <c r="AR6" s="21">
        <v>-1293384</v>
      </c>
      <c r="AS6" s="21">
        <v>-5850948</v>
      </c>
      <c r="AT6" s="21">
        <v>-615526</v>
      </c>
      <c r="AU6" s="21">
        <v>-1854820</v>
      </c>
      <c r="AV6" s="21">
        <v>2938</v>
      </c>
      <c r="AW6" s="21">
        <v>7880</v>
      </c>
      <c r="AX6" s="21">
        <v>109149</v>
      </c>
      <c r="AY6" s="21">
        <v>219365</v>
      </c>
      <c r="AZ6" s="21"/>
      <c r="BA6" s="21"/>
      <c r="BB6" s="21"/>
      <c r="BC6" s="21"/>
      <c r="BD6" s="21">
        <v>48296</v>
      </c>
      <c r="BE6" s="21">
        <v>47657</v>
      </c>
      <c r="BF6" s="21">
        <v>494862</v>
      </c>
      <c r="BG6" s="21">
        <v>1908891</v>
      </c>
      <c r="BH6" s="21">
        <v>62543</v>
      </c>
      <c r="BI6" s="21">
        <v>115726</v>
      </c>
      <c r="BJ6" s="21"/>
      <c r="BK6" s="21"/>
      <c r="BL6" s="21">
        <v>67440</v>
      </c>
      <c r="BM6" s="21">
        <v>-917982</v>
      </c>
      <c r="BN6" s="21">
        <v>2152297</v>
      </c>
      <c r="BO6" s="21">
        <v>203641</v>
      </c>
      <c r="BP6" s="21">
        <v>121652</v>
      </c>
      <c r="BQ6" s="21">
        <v>322978</v>
      </c>
      <c r="BR6" s="21">
        <f>B6+D6+F6+H6+J6+L6+N6+P6+R6+T6+V6+X6+Z6+AB6+AD6+AF6+AH6+AJ6+AL6+AN6+AP6+AR6+AT6+AV6+AX6+BB6+BD6+BF6+BH6+BJ6+BL6+BN6+BP6</f>
        <v>3899254.027774239</v>
      </c>
      <c r="BS6" s="21">
        <f>C6+E6+G6+I6+K6+M6+O6+Q6+S6+U6+W6+Y6+AA6+AC6+AE6+AG6+AI6+AK6+AM6+AO6+AQ6+AS6+AU6+AW6+AY6+BC6+BE6+BG6+BI6+BK6+BM6+BO6+BQ6</f>
        <v>-162652.94435226172</v>
      </c>
    </row>
    <row r="7" spans="1:71" x14ac:dyDescent="0.25">
      <c r="A7" s="25" t="s">
        <v>46</v>
      </c>
      <c r="B7" s="21"/>
      <c r="C7" s="21"/>
      <c r="D7" s="21"/>
      <c r="E7" s="21"/>
      <c r="F7" s="21"/>
      <c r="G7" s="21"/>
      <c r="H7" s="21"/>
      <c r="I7" s="21"/>
      <c r="J7" s="21">
        <v>-79000</v>
      </c>
      <c r="K7" s="21">
        <v>-180165</v>
      </c>
      <c r="L7" s="112">
        <v>-53697</v>
      </c>
      <c r="M7" s="112">
        <v>-48415</v>
      </c>
      <c r="N7" s="21">
        <v>56046</v>
      </c>
      <c r="O7" s="21">
        <v>56086</v>
      </c>
      <c r="P7" s="21"/>
      <c r="Q7" s="21"/>
      <c r="R7" s="21"/>
      <c r="S7" s="21"/>
      <c r="T7" s="21">
        <v>504</v>
      </c>
      <c r="U7" s="21">
        <v>-31</v>
      </c>
      <c r="V7" s="21"/>
      <c r="W7" s="21"/>
      <c r="X7" s="21">
        <v>40292</v>
      </c>
      <c r="Y7" s="21">
        <v>22044</v>
      </c>
      <c r="Z7" s="21">
        <v>17</v>
      </c>
      <c r="AA7" s="21">
        <v>-233</v>
      </c>
      <c r="AB7" s="21">
        <v>-37293</v>
      </c>
      <c r="AC7" s="21">
        <v>-230527</v>
      </c>
      <c r="AD7" s="21">
        <v>-26318</v>
      </c>
      <c r="AE7" s="21">
        <v>-362609</v>
      </c>
      <c r="AF7" s="21">
        <v>48892</v>
      </c>
      <c r="AG7" s="21">
        <v>259361</v>
      </c>
      <c r="AH7" s="21">
        <v>-90764</v>
      </c>
      <c r="AI7" s="21">
        <v>-404497</v>
      </c>
      <c r="AJ7" s="21">
        <v>19795</v>
      </c>
      <c r="AK7" s="21">
        <v>-74519</v>
      </c>
      <c r="AL7" s="21">
        <v>-20746</v>
      </c>
      <c r="AM7" s="21">
        <v>-51442</v>
      </c>
      <c r="AN7" s="21"/>
      <c r="AO7" s="21"/>
      <c r="AP7" s="21">
        <v>287308.36338296789</v>
      </c>
      <c r="AQ7" s="21">
        <v>87183.287991167977</v>
      </c>
      <c r="AR7" s="21">
        <v>-621653</v>
      </c>
      <c r="AS7" s="21">
        <v>114539</v>
      </c>
      <c r="AT7" s="21">
        <v>465178</v>
      </c>
      <c r="AU7" s="21">
        <v>967539</v>
      </c>
      <c r="AV7" s="21">
        <v>62</v>
      </c>
      <c r="AW7" s="21">
        <v>355</v>
      </c>
      <c r="AX7" s="21">
        <v>5958</v>
      </c>
      <c r="AY7" s="21">
        <v>-41332</v>
      </c>
      <c r="AZ7" s="21"/>
      <c r="BA7" s="21"/>
      <c r="BB7" s="21"/>
      <c r="BC7" s="21"/>
      <c r="BD7" s="21">
        <v>-35146</v>
      </c>
      <c r="BE7" s="21">
        <v>-13197</v>
      </c>
      <c r="BF7" s="21">
        <v>-12497</v>
      </c>
      <c r="BG7" s="21">
        <v>-52913</v>
      </c>
      <c r="BH7" s="21">
        <v>4352</v>
      </c>
      <c r="BI7" s="21">
        <v>8261</v>
      </c>
      <c r="BJ7" s="21"/>
      <c r="BK7" s="21"/>
      <c r="BL7" s="21">
        <v>53919</v>
      </c>
      <c r="BM7" s="21">
        <v>-100797</v>
      </c>
      <c r="BN7" s="21">
        <v>-60980</v>
      </c>
      <c r="BO7" s="21">
        <v>-83350</v>
      </c>
      <c r="BP7" s="21">
        <v>4842</v>
      </c>
      <c r="BQ7" s="21">
        <v>9888</v>
      </c>
      <c r="BR7" s="21">
        <f t="shared" ref="BR7:BR28" si="0">B7+D7+F7+H7+J7+L7+N7+P7+R7+T7+V7+X7+Z7+AB7+AD7+AF7+AH7+AJ7+AL7+AN7+AP7+AR7+AT7+AV7+AX7+BB7+BD7+BF7+BH7+BJ7+BL7+BN7+BP7</f>
        <v>-50928.636617032113</v>
      </c>
      <c r="BS7" s="21">
        <f t="shared" ref="BS7:BS28" si="1">C7+E7+G7+I7+K7+M7+O7+Q7+S7+U7+W7+Y7+AA7+AC7+AE7+AG7+AI7+AK7+AM7+AO7+AQ7+AS7+AU7+AW7+AY7+BC7+BE7+BG7+BI7+BK7+BM7+BO7+BQ7</f>
        <v>-118770.71200883202</v>
      </c>
    </row>
    <row r="8" spans="1:71" x14ac:dyDescent="0.25">
      <c r="A8" s="25" t="s">
        <v>47</v>
      </c>
      <c r="B8" s="21">
        <v>-700863</v>
      </c>
      <c r="C8" s="21">
        <v>-1406483</v>
      </c>
      <c r="D8" s="21">
        <v>-627977</v>
      </c>
      <c r="E8" s="21">
        <v>-2563400</v>
      </c>
      <c r="F8" s="21">
        <v>1596066</v>
      </c>
      <c r="G8" s="21">
        <v>5073364</v>
      </c>
      <c r="H8" s="21">
        <v>2137560</v>
      </c>
      <c r="I8" s="21">
        <v>1125705</v>
      </c>
      <c r="J8" s="21">
        <v>1193710</v>
      </c>
      <c r="K8" s="21">
        <v>9400383</v>
      </c>
      <c r="L8" s="119">
        <v>1399271</v>
      </c>
      <c r="M8" s="119">
        <v>1306380</v>
      </c>
      <c r="N8" s="21">
        <v>139956</v>
      </c>
      <c r="O8" s="21">
        <v>1417157</v>
      </c>
      <c r="P8" s="21">
        <v>-268649</v>
      </c>
      <c r="Q8" s="21">
        <v>-1690543</v>
      </c>
      <c r="R8" s="21">
        <v>-244284</v>
      </c>
      <c r="S8" s="21">
        <v>-416893</v>
      </c>
      <c r="T8" s="21">
        <v>-199766</v>
      </c>
      <c r="U8" s="21">
        <v>-624721</v>
      </c>
      <c r="V8" s="21">
        <v>-79671.100000000006</v>
      </c>
      <c r="W8" s="21">
        <v>-427663.3</v>
      </c>
      <c r="X8" s="21">
        <v>-236550</v>
      </c>
      <c r="Y8" s="21">
        <v>892410</v>
      </c>
      <c r="Z8" s="21">
        <v>-1238527</v>
      </c>
      <c r="AA8" s="21">
        <v>-2956368</v>
      </c>
      <c r="AB8" s="21">
        <v>1058647</v>
      </c>
      <c r="AC8" s="21">
        <v>4836224</v>
      </c>
      <c r="AD8" s="21">
        <v>2954729</v>
      </c>
      <c r="AE8" s="21">
        <v>12109673</v>
      </c>
      <c r="AF8" s="21">
        <v>13583</v>
      </c>
      <c r="AG8" s="21">
        <v>806698</v>
      </c>
      <c r="AH8" s="21"/>
      <c r="AI8" s="21"/>
      <c r="AJ8" s="21">
        <v>245272</v>
      </c>
      <c r="AK8" s="21">
        <v>-641097</v>
      </c>
      <c r="AL8" s="21">
        <v>782</v>
      </c>
      <c r="AM8" s="21">
        <v>162638</v>
      </c>
      <c r="AN8" s="21">
        <v>635255</v>
      </c>
      <c r="AO8" s="21">
        <v>857254</v>
      </c>
      <c r="AP8" s="21">
        <v>-7102806.8496692032</v>
      </c>
      <c r="AQ8" s="21">
        <v>-21772453.453739792</v>
      </c>
      <c r="AR8" s="21">
        <v>-7040946</v>
      </c>
      <c r="AS8" s="21">
        <v>-8877029</v>
      </c>
      <c r="AT8" s="21">
        <v>-174252</v>
      </c>
      <c r="AU8" s="21">
        <v>-11286760</v>
      </c>
      <c r="AV8" s="21">
        <v>-18857</v>
      </c>
      <c r="AW8" s="21">
        <v>-147489</v>
      </c>
      <c r="AX8" s="21">
        <v>316705</v>
      </c>
      <c r="AY8" s="21">
        <v>1441163</v>
      </c>
      <c r="AZ8" s="21">
        <v>-312157</v>
      </c>
      <c r="BA8" s="21">
        <v>-558041</v>
      </c>
      <c r="BB8" s="21">
        <v>2135387</v>
      </c>
      <c r="BC8" s="21">
        <v>2411843</v>
      </c>
      <c r="BD8" s="21">
        <v>281836</v>
      </c>
      <c r="BE8" s="21">
        <v>1150640</v>
      </c>
      <c r="BF8" s="21">
        <v>330256</v>
      </c>
      <c r="BG8" s="21">
        <v>1764223</v>
      </c>
      <c r="BH8" s="21">
        <v>4923562</v>
      </c>
      <c r="BI8" s="21">
        <v>9420368</v>
      </c>
      <c r="BJ8" s="21">
        <v>4955202</v>
      </c>
      <c r="BK8" s="21">
        <v>2295097</v>
      </c>
      <c r="BL8" s="21">
        <v>-338566</v>
      </c>
      <c r="BM8" s="21">
        <v>1347285</v>
      </c>
      <c r="BN8" s="21">
        <v>-510790</v>
      </c>
      <c r="BO8" s="21">
        <v>-21494113</v>
      </c>
      <c r="BP8" s="21">
        <v>1440621</v>
      </c>
      <c r="BQ8" s="21">
        <v>1526921</v>
      </c>
      <c r="BR8" s="21">
        <f t="shared" si="0"/>
        <v>6975895.0503307972</v>
      </c>
      <c r="BS8" s="21">
        <f t="shared" si="1"/>
        <v>-14959586.753739793</v>
      </c>
    </row>
    <row r="9" spans="1:71" s="15" customFormat="1" x14ac:dyDescent="0.25">
      <c r="A9" s="23" t="s">
        <v>48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164"/>
      <c r="M9" s="16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49"/>
      <c r="BS9" s="49"/>
    </row>
    <row r="10" spans="1:71" x14ac:dyDescent="0.25">
      <c r="A10" s="25" t="s">
        <v>49</v>
      </c>
      <c r="B10" s="21">
        <v>39021</v>
      </c>
      <c r="C10" s="21">
        <v>67280</v>
      </c>
      <c r="D10" s="21">
        <v>27842</v>
      </c>
      <c r="E10" s="21">
        <v>89743</v>
      </c>
      <c r="F10" s="44">
        <v>603348</v>
      </c>
      <c r="G10" s="44">
        <v>1892694</v>
      </c>
      <c r="H10" s="21">
        <v>56558</v>
      </c>
      <c r="I10" s="21">
        <v>180509</v>
      </c>
      <c r="J10" s="21">
        <v>714218</v>
      </c>
      <c r="K10" s="21">
        <v>2540513</v>
      </c>
      <c r="L10" s="119">
        <v>109783</v>
      </c>
      <c r="M10" s="119">
        <v>387746</v>
      </c>
      <c r="N10" s="21">
        <v>123919</v>
      </c>
      <c r="O10" s="21">
        <v>520370</v>
      </c>
      <c r="P10" s="21">
        <v>36769</v>
      </c>
      <c r="Q10" s="21">
        <v>134279</v>
      </c>
      <c r="R10" s="21">
        <v>9012</v>
      </c>
      <c r="S10" s="21">
        <v>77583</v>
      </c>
      <c r="T10" s="21">
        <v>28247</v>
      </c>
      <c r="U10" s="21">
        <v>101755</v>
      </c>
      <c r="V10" s="21">
        <v>689971.9</v>
      </c>
      <c r="W10" s="21">
        <v>2740631.67</v>
      </c>
      <c r="X10" s="21">
        <v>93265</v>
      </c>
      <c r="Y10" s="21">
        <v>437912</v>
      </c>
      <c r="Z10" s="21">
        <v>98820</v>
      </c>
      <c r="AA10" s="21">
        <v>346927</v>
      </c>
      <c r="AB10" s="21">
        <v>259306</v>
      </c>
      <c r="AC10" s="21">
        <v>1414938</v>
      </c>
      <c r="AD10" s="21">
        <v>985876</v>
      </c>
      <c r="AE10" s="21">
        <v>3534712</v>
      </c>
      <c r="AF10" s="21">
        <v>493018</v>
      </c>
      <c r="AG10" s="21">
        <v>1348750</v>
      </c>
      <c r="AH10" s="21">
        <v>16868</v>
      </c>
      <c r="AI10" s="21">
        <v>75646</v>
      </c>
      <c r="AJ10" s="21">
        <v>34474</v>
      </c>
      <c r="AK10" s="21">
        <v>295994</v>
      </c>
      <c r="AL10" s="21">
        <v>20128</v>
      </c>
      <c r="AM10" s="21">
        <v>130742</v>
      </c>
      <c r="AN10" s="21">
        <v>56354</v>
      </c>
      <c r="AO10" s="21">
        <v>192383</v>
      </c>
      <c r="AP10" s="21">
        <v>304704</v>
      </c>
      <c r="AQ10" s="21">
        <v>1232332</v>
      </c>
      <c r="AR10" s="21">
        <v>2693539</v>
      </c>
      <c r="AS10" s="21">
        <v>11385198</v>
      </c>
      <c r="AT10" s="21">
        <v>618814</v>
      </c>
      <c r="AU10" s="21">
        <v>2520082</v>
      </c>
      <c r="AV10" s="21">
        <v>28131</v>
      </c>
      <c r="AW10" s="21">
        <v>117338</v>
      </c>
      <c r="AX10" s="21">
        <v>398657</v>
      </c>
      <c r="AY10" s="21">
        <v>1019663</v>
      </c>
      <c r="AZ10" s="21">
        <v>-5662</v>
      </c>
      <c r="BA10" s="21">
        <v>2516</v>
      </c>
      <c r="BB10" s="21">
        <v>54455</v>
      </c>
      <c r="BC10" s="21">
        <v>212840</v>
      </c>
      <c r="BD10" s="21">
        <v>201930</v>
      </c>
      <c r="BE10" s="21">
        <v>773766</v>
      </c>
      <c r="BF10" s="21">
        <v>143391</v>
      </c>
      <c r="BG10" s="21">
        <v>1072893</v>
      </c>
      <c r="BH10" s="21">
        <v>112578</v>
      </c>
      <c r="BI10" s="21">
        <v>497010</v>
      </c>
      <c r="BJ10" s="21">
        <v>274411</v>
      </c>
      <c r="BK10" s="21">
        <v>797902</v>
      </c>
      <c r="BL10" s="21">
        <v>318687</v>
      </c>
      <c r="BM10" s="21">
        <v>1221599</v>
      </c>
      <c r="BN10" s="21">
        <v>146265</v>
      </c>
      <c r="BO10" s="21">
        <v>1899644</v>
      </c>
      <c r="BP10" s="21">
        <v>86833</v>
      </c>
      <c r="BQ10" s="21">
        <v>299476</v>
      </c>
      <c r="BR10" s="21">
        <f t="shared" si="0"/>
        <v>9879192.9000000004</v>
      </c>
      <c r="BS10" s="21">
        <f t="shared" si="1"/>
        <v>39560850.670000002</v>
      </c>
    </row>
    <row r="11" spans="1:71" x14ac:dyDescent="0.25">
      <c r="A11" s="25" t="s">
        <v>50</v>
      </c>
      <c r="B11" s="21">
        <v>10427</v>
      </c>
      <c r="C11" s="21">
        <v>13737</v>
      </c>
      <c r="D11" s="21">
        <v>193</v>
      </c>
      <c r="E11" s="21">
        <v>1270</v>
      </c>
      <c r="F11" s="21">
        <v>462</v>
      </c>
      <c r="G11" s="21">
        <v>1790</v>
      </c>
      <c r="H11" s="21">
        <v>476</v>
      </c>
      <c r="I11" s="21">
        <v>9926</v>
      </c>
      <c r="J11" s="21">
        <v>50150</v>
      </c>
      <c r="K11" s="21">
        <v>354353</v>
      </c>
      <c r="L11" s="119">
        <v>7113</v>
      </c>
      <c r="M11" s="119">
        <v>31226</v>
      </c>
      <c r="N11" s="21">
        <v>3795</v>
      </c>
      <c r="O11" s="21">
        <v>23866</v>
      </c>
      <c r="P11" s="21">
        <v>3592</v>
      </c>
      <c r="Q11" s="21">
        <v>8259</v>
      </c>
      <c r="R11" s="21">
        <v>531</v>
      </c>
      <c r="S11" s="21">
        <v>4908</v>
      </c>
      <c r="T11" s="21">
        <v>4335</v>
      </c>
      <c r="U11" s="21">
        <v>13936</v>
      </c>
      <c r="V11" s="21">
        <v>2344.2199999999998</v>
      </c>
      <c r="W11" s="21">
        <v>225651.58</v>
      </c>
      <c r="X11" s="21">
        <v>2673</v>
      </c>
      <c r="Y11" s="21">
        <v>15737</v>
      </c>
      <c r="Z11" s="21"/>
      <c r="AA11" s="21">
        <v>9846</v>
      </c>
      <c r="AB11" s="21">
        <v>15099</v>
      </c>
      <c r="AC11" s="21">
        <v>158642</v>
      </c>
      <c r="AD11" s="21">
        <v>129091</v>
      </c>
      <c r="AE11" s="21">
        <v>1211076</v>
      </c>
      <c r="AF11" s="21">
        <v>10349</v>
      </c>
      <c r="AG11" s="21">
        <v>36609</v>
      </c>
      <c r="AH11" s="21">
        <v>5045</v>
      </c>
      <c r="AI11" s="21">
        <v>9033</v>
      </c>
      <c r="AJ11" s="21">
        <v>912</v>
      </c>
      <c r="AK11" s="21">
        <v>7689</v>
      </c>
      <c r="AL11" s="21">
        <v>4412</v>
      </c>
      <c r="AM11" s="21">
        <v>12097</v>
      </c>
      <c r="AN11" s="21">
        <v>1977</v>
      </c>
      <c r="AO11" s="21">
        <v>12738</v>
      </c>
      <c r="AP11" s="21">
        <v>469689</v>
      </c>
      <c r="AQ11" s="21">
        <v>1285563</v>
      </c>
      <c r="AR11" s="21">
        <v>2950315</v>
      </c>
      <c r="AS11" s="21">
        <v>10126292</v>
      </c>
      <c r="AT11" s="21">
        <v>1262475</v>
      </c>
      <c r="AU11" s="21">
        <v>3855035</v>
      </c>
      <c r="AV11" s="21">
        <v>723</v>
      </c>
      <c r="AW11" s="21">
        <v>4087</v>
      </c>
      <c r="AX11" s="21">
        <v>34252</v>
      </c>
      <c r="AY11" s="21">
        <v>64542</v>
      </c>
      <c r="AZ11" s="21">
        <v>16420</v>
      </c>
      <c r="BA11" s="21">
        <v>28761</v>
      </c>
      <c r="BB11" s="21"/>
      <c r="BC11" s="21">
        <v>114</v>
      </c>
      <c r="BD11" s="21">
        <v>7171</v>
      </c>
      <c r="BE11" s="21">
        <v>68274</v>
      </c>
      <c r="BF11" s="21">
        <v>95192</v>
      </c>
      <c r="BG11" s="21">
        <v>191249</v>
      </c>
      <c r="BH11" s="21">
        <v>0</v>
      </c>
      <c r="BI11" s="21">
        <v>4664</v>
      </c>
      <c r="BJ11" s="21">
        <v>329</v>
      </c>
      <c r="BK11" s="21">
        <v>3372</v>
      </c>
      <c r="BL11" s="21">
        <v>23118</v>
      </c>
      <c r="BM11" s="21">
        <v>209155</v>
      </c>
      <c r="BN11" s="21">
        <v>333334</v>
      </c>
      <c r="BO11" s="21">
        <v>1472220</v>
      </c>
      <c r="BP11" s="21">
        <v>7034</v>
      </c>
      <c r="BQ11" s="21">
        <v>18216</v>
      </c>
      <c r="BR11" s="21">
        <f t="shared" si="0"/>
        <v>5436608.2199999997</v>
      </c>
      <c r="BS11" s="21">
        <f t="shared" si="1"/>
        <v>19465172.579999998</v>
      </c>
    </row>
    <row r="12" spans="1:71" x14ac:dyDescent="0.25">
      <c r="A12" s="25" t="s">
        <v>150</v>
      </c>
      <c r="B12" s="28">
        <v>1970</v>
      </c>
      <c r="C12" s="28">
        <v>4003</v>
      </c>
      <c r="D12" s="21"/>
      <c r="E12" s="21">
        <v>-102</v>
      </c>
      <c r="F12" s="21"/>
      <c r="G12" s="21"/>
      <c r="H12" s="21"/>
      <c r="I12" s="21"/>
      <c r="J12" s="21">
        <v>-33898</v>
      </c>
      <c r="K12" s="21">
        <v>-110141</v>
      </c>
      <c r="L12" s="119"/>
      <c r="M12" s="119"/>
      <c r="N12" s="21"/>
      <c r="O12" s="21"/>
      <c r="P12" s="21"/>
      <c r="Q12" s="21"/>
      <c r="R12" s="21"/>
      <c r="S12" s="21"/>
      <c r="T12" s="21">
        <v>111</v>
      </c>
      <c r="U12" s="21">
        <v>-17206</v>
      </c>
      <c r="V12" s="21">
        <v>-70459.39</v>
      </c>
      <c r="W12" s="21">
        <v>-70459.39</v>
      </c>
      <c r="X12" s="21">
        <v>-479</v>
      </c>
      <c r="Y12" s="21">
        <v>-3158</v>
      </c>
      <c r="Z12" s="21"/>
      <c r="AA12" s="21">
        <v>-35211</v>
      </c>
      <c r="AB12" s="21"/>
      <c r="AC12" s="21"/>
      <c r="AD12" s="21">
        <v>-8505</v>
      </c>
      <c r="AE12" s="21">
        <v>-145726</v>
      </c>
      <c r="AF12" s="21"/>
      <c r="AG12" s="21"/>
      <c r="AH12" s="21">
        <v>-2953</v>
      </c>
      <c r="AI12" s="21">
        <v>-4071</v>
      </c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>
        <v>-23973</v>
      </c>
      <c r="AU12" s="21">
        <v>-23973</v>
      </c>
      <c r="AV12" s="21"/>
      <c r="AW12" s="21"/>
      <c r="AX12" s="21">
        <v>-7140</v>
      </c>
      <c r="AY12" s="21">
        <v>-9183</v>
      </c>
      <c r="AZ12" s="21"/>
      <c r="BA12" s="21"/>
      <c r="BB12" s="21"/>
      <c r="BC12" s="21"/>
      <c r="BD12" s="21">
        <v>-565</v>
      </c>
      <c r="BE12" s="21">
        <v>-16837</v>
      </c>
      <c r="BF12" s="21">
        <v>-24400</v>
      </c>
      <c r="BG12" s="21">
        <v>-32568</v>
      </c>
      <c r="BH12" s="21"/>
      <c r="BI12" s="21"/>
      <c r="BJ12" s="21"/>
      <c r="BK12" s="21"/>
      <c r="BL12" s="21">
        <v>-54163</v>
      </c>
      <c r="BM12" s="21">
        <v>-106667</v>
      </c>
      <c r="BN12" s="21"/>
      <c r="BO12" s="21"/>
      <c r="BP12" s="21">
        <v>-1032</v>
      </c>
      <c r="BQ12" s="21">
        <v>-22889</v>
      </c>
      <c r="BR12" s="21">
        <f t="shared" si="0"/>
        <v>-225486.39</v>
      </c>
      <c r="BS12" s="21">
        <f t="shared" si="1"/>
        <v>-594188.39</v>
      </c>
    </row>
    <row r="13" spans="1:71" ht="15" customHeight="1" x14ac:dyDescent="0.25">
      <c r="A13" s="25" t="s">
        <v>208</v>
      </c>
      <c r="B13" s="47"/>
      <c r="C13" s="47"/>
      <c r="D13" s="21">
        <v>-831</v>
      </c>
      <c r="E13" s="21">
        <v>-3421</v>
      </c>
      <c r="F13" s="21"/>
      <c r="G13" s="21"/>
      <c r="H13" s="21"/>
      <c r="I13" s="21"/>
      <c r="J13" s="21"/>
      <c r="K13" s="21"/>
      <c r="L13" s="119"/>
      <c r="M13" s="119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>
        <v>1370</v>
      </c>
      <c r="Y13" s="21">
        <v>-4392</v>
      </c>
      <c r="Z13" s="21"/>
      <c r="AA13" s="21"/>
      <c r="AB13" s="21">
        <v>-5067</v>
      </c>
      <c r="AC13" s="21">
        <v>-35618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>
        <v>23033</v>
      </c>
      <c r="BM13" s="21">
        <v>-5439</v>
      </c>
      <c r="BN13" s="21"/>
      <c r="BO13" s="21"/>
      <c r="BP13" s="21"/>
      <c r="BQ13" s="21"/>
      <c r="BR13" s="21">
        <f t="shared" si="0"/>
        <v>18505</v>
      </c>
      <c r="BS13" s="21">
        <f t="shared" si="1"/>
        <v>-48870</v>
      </c>
    </row>
    <row r="14" spans="1:71" x14ac:dyDescent="0.25">
      <c r="A14" s="21" t="s">
        <v>213</v>
      </c>
      <c r="B14" s="47"/>
      <c r="C14" s="47"/>
      <c r="D14" s="21"/>
      <c r="E14" s="21"/>
      <c r="F14" s="21">
        <v>33171</v>
      </c>
      <c r="G14" s="21">
        <v>114333</v>
      </c>
      <c r="H14" s="21">
        <v>-110</v>
      </c>
      <c r="I14" s="21">
        <v>-111</v>
      </c>
      <c r="J14" s="21">
        <v>-22753</v>
      </c>
      <c r="K14" s="21">
        <v>-62880</v>
      </c>
      <c r="L14" s="119">
        <v>2429</v>
      </c>
      <c r="M14" s="119">
        <v>1167</v>
      </c>
      <c r="N14" s="21"/>
      <c r="O14" s="21"/>
      <c r="P14" s="21"/>
      <c r="Q14" s="21"/>
      <c r="R14" s="21"/>
      <c r="S14" s="21"/>
      <c r="T14" s="21">
        <v>447</v>
      </c>
      <c r="U14" s="21">
        <v>1943</v>
      </c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>
        <v>-4320</v>
      </c>
      <c r="AO14" s="21">
        <v>10496</v>
      </c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>
        <v>-1552</v>
      </c>
      <c r="BI14" s="21">
        <v>-10036</v>
      </c>
      <c r="BJ14" s="21"/>
      <c r="BK14" s="21"/>
      <c r="BL14" s="21"/>
      <c r="BM14" s="21"/>
      <c r="BN14" s="21"/>
      <c r="BO14" s="21"/>
      <c r="BP14" s="21">
        <v>-1431</v>
      </c>
      <c r="BQ14" s="21">
        <v>-7205</v>
      </c>
      <c r="BR14" s="21">
        <f t="shared" si="0"/>
        <v>5881</v>
      </c>
      <c r="BS14" s="21">
        <f t="shared" si="1"/>
        <v>47707</v>
      </c>
    </row>
    <row r="15" spans="1:71" s="15" customFormat="1" x14ac:dyDescent="0.25">
      <c r="A15" s="23" t="s">
        <v>51</v>
      </c>
      <c r="B15" s="24"/>
      <c r="C15" s="24"/>
      <c r="D15" s="24"/>
      <c r="E15" s="24"/>
      <c r="F15" s="45">
        <v>4578</v>
      </c>
      <c r="G15" s="21">
        <v>163971</v>
      </c>
      <c r="H15" s="45">
        <v>2411</v>
      </c>
      <c r="I15" s="45">
        <v>5246</v>
      </c>
      <c r="J15" s="45"/>
      <c r="K15" s="45"/>
      <c r="L15" s="162"/>
      <c r="M15" s="162"/>
      <c r="N15" s="45"/>
      <c r="O15" s="45"/>
      <c r="P15" s="45"/>
      <c r="Q15" s="45"/>
      <c r="R15" s="45">
        <v>45</v>
      </c>
      <c r="S15" s="45">
        <v>521</v>
      </c>
      <c r="T15" s="45"/>
      <c r="U15" s="45"/>
      <c r="V15" s="45">
        <f>V16-V12-V11-V10-V8</f>
        <v>15885.819999999978</v>
      </c>
      <c r="W15" s="45">
        <f>W16-W12-W11-W10-W8</f>
        <v>914704.7100000002</v>
      </c>
      <c r="X15" s="45">
        <v>10492</v>
      </c>
      <c r="Y15" s="45">
        <v>10492</v>
      </c>
      <c r="Z15" s="45"/>
      <c r="AA15" s="45"/>
      <c r="AB15" s="45"/>
      <c r="AC15" s="21">
        <v>175000</v>
      </c>
      <c r="AD15" s="45">
        <f>28338+3312</f>
        <v>31650</v>
      </c>
      <c r="AE15" s="45">
        <f>139069+3944</f>
        <v>143013</v>
      </c>
      <c r="AF15" s="45">
        <v>21675</v>
      </c>
      <c r="AG15" s="45">
        <v>35871</v>
      </c>
      <c r="AH15" s="45">
        <v>548</v>
      </c>
      <c r="AI15" s="45">
        <v>1690</v>
      </c>
      <c r="AJ15" s="45"/>
      <c r="AK15" s="45"/>
      <c r="AL15" s="45"/>
      <c r="AM15" s="45"/>
      <c r="AN15" s="45">
        <f>-797+220+185</f>
        <v>-392</v>
      </c>
      <c r="AO15" s="45">
        <f>1874+746+377</f>
        <v>2997</v>
      </c>
      <c r="AP15" s="45">
        <v>27977</v>
      </c>
      <c r="AQ15" s="45">
        <v>746365</v>
      </c>
      <c r="AR15" s="45">
        <v>596786</v>
      </c>
      <c r="AS15" s="45">
        <v>428012</v>
      </c>
      <c r="AT15" s="45">
        <v>502707</v>
      </c>
      <c r="AU15" s="45">
        <v>1684219</v>
      </c>
      <c r="AV15" s="45">
        <v>1487</v>
      </c>
      <c r="AW15" s="45">
        <v>1616</v>
      </c>
      <c r="AX15" s="45">
        <f>126+7742+34462</f>
        <v>42330</v>
      </c>
      <c r="AY15" s="45">
        <f>291+10793+49945</f>
        <v>61029</v>
      </c>
      <c r="AZ15" s="45"/>
      <c r="BA15" s="45"/>
      <c r="BB15" s="45">
        <v>2</v>
      </c>
      <c r="BC15" s="45">
        <v>9</v>
      </c>
      <c r="BD15" s="45">
        <v>301</v>
      </c>
      <c r="BE15" s="45">
        <v>1134</v>
      </c>
      <c r="BF15" s="45">
        <v>3079</v>
      </c>
      <c r="BG15" s="45">
        <v>11362</v>
      </c>
      <c r="BH15" s="45"/>
      <c r="BI15" s="45"/>
      <c r="BJ15" s="45"/>
      <c r="BK15" s="45"/>
      <c r="BL15" s="45">
        <f>9448+800</f>
        <v>10248</v>
      </c>
      <c r="BM15" s="45">
        <f>2578+9448</f>
        <v>12026</v>
      </c>
      <c r="BN15" s="45">
        <v>93279</v>
      </c>
      <c r="BO15" s="45">
        <v>120008</v>
      </c>
      <c r="BP15" s="45"/>
      <c r="BQ15" s="21"/>
      <c r="BR15" s="21">
        <f t="shared" si="0"/>
        <v>1365088.8199999998</v>
      </c>
      <c r="BS15" s="21">
        <f t="shared" si="1"/>
        <v>4519285.71</v>
      </c>
    </row>
    <row r="16" spans="1:71" s="15" customFormat="1" x14ac:dyDescent="0.25">
      <c r="A16" s="23" t="s">
        <v>35</v>
      </c>
      <c r="B16" s="24">
        <v>-653385</v>
      </c>
      <c r="C16" s="24">
        <v>-1329469</v>
      </c>
      <c r="D16" s="24">
        <v>-600773</v>
      </c>
      <c r="E16" s="24">
        <v>-2475910</v>
      </c>
      <c r="F16" s="24">
        <v>2237624</v>
      </c>
      <c r="G16" s="24">
        <v>7246152</v>
      </c>
      <c r="H16" s="24">
        <v>2196895</v>
      </c>
      <c r="I16" s="24">
        <v>1321275</v>
      </c>
      <c r="J16" s="24">
        <v>1921556</v>
      </c>
      <c r="K16" s="24">
        <v>12398690</v>
      </c>
      <c r="L16" s="162">
        <v>1507890</v>
      </c>
      <c r="M16" s="162">
        <v>1738753</v>
      </c>
      <c r="N16" s="24">
        <f>SUM(N6:N11)</f>
        <v>544183</v>
      </c>
      <c r="O16" s="24">
        <f>SUM(O6:O11)</f>
        <v>3125336</v>
      </c>
      <c r="P16" s="24">
        <v>-228289</v>
      </c>
      <c r="Q16" s="24">
        <v>-1548004</v>
      </c>
      <c r="R16" s="24">
        <v>46108</v>
      </c>
      <c r="S16" s="24">
        <v>-234608</v>
      </c>
      <c r="T16" s="24">
        <v>-166497</v>
      </c>
      <c r="U16" s="24">
        <v>-542710</v>
      </c>
      <c r="V16" s="24">
        <v>558071.44999999995</v>
      </c>
      <c r="W16" s="24">
        <v>3382865.27</v>
      </c>
      <c r="X16" s="24">
        <v>-195635</v>
      </c>
      <c r="Y16" s="24">
        <v>1107633</v>
      </c>
      <c r="Z16" s="24">
        <v>-1119545</v>
      </c>
      <c r="AA16" s="24">
        <v>-2678268</v>
      </c>
      <c r="AB16" s="24">
        <v>1440935</v>
      </c>
      <c r="AC16" s="24">
        <v>6652020</v>
      </c>
      <c r="AD16" s="24">
        <v>4105446</v>
      </c>
      <c r="AE16" s="24">
        <v>17057249</v>
      </c>
      <c r="AF16" s="24">
        <v>609349</v>
      </c>
      <c r="AG16" s="24">
        <v>2820045</v>
      </c>
      <c r="AH16" s="24">
        <v>-76944</v>
      </c>
      <c r="AI16" s="24">
        <v>-336073</v>
      </c>
      <c r="AJ16" s="24">
        <v>251535</v>
      </c>
      <c r="AK16" s="24">
        <v>-556555</v>
      </c>
      <c r="AL16" s="24">
        <v>-31737</v>
      </c>
      <c r="AM16" s="24">
        <v>55304</v>
      </c>
      <c r="AN16" s="24">
        <v>688873</v>
      </c>
      <c r="AO16" s="24">
        <v>1075868</v>
      </c>
      <c r="AP16" s="24">
        <v>-3940683.4585119961</v>
      </c>
      <c r="AQ16" s="24">
        <v>-15061428.110100888</v>
      </c>
      <c r="AR16" s="24">
        <v>-2715343</v>
      </c>
      <c r="AS16" s="24">
        <v>7326064</v>
      </c>
      <c r="AT16" s="24">
        <v>2035423</v>
      </c>
      <c r="AU16" s="24">
        <v>-4138677</v>
      </c>
      <c r="AV16" s="24">
        <v>14483</v>
      </c>
      <c r="AW16" s="24">
        <v>-16213</v>
      </c>
      <c r="AX16" s="24">
        <v>899911</v>
      </c>
      <c r="AY16" s="24">
        <v>2755251</v>
      </c>
      <c r="AZ16" s="24">
        <v>-301399</v>
      </c>
      <c r="BA16" s="24">
        <v>-526764</v>
      </c>
      <c r="BB16" s="24">
        <v>2189844</v>
      </c>
      <c r="BC16" s="24">
        <v>2624806</v>
      </c>
      <c r="BD16" s="24">
        <v>503823</v>
      </c>
      <c r="BE16" s="24">
        <v>2011437</v>
      </c>
      <c r="BF16" s="24">
        <v>1029883</v>
      </c>
      <c r="BG16" s="24">
        <v>4863137</v>
      </c>
      <c r="BH16" s="24">
        <v>5101483</v>
      </c>
      <c r="BI16" s="24">
        <v>10035993</v>
      </c>
      <c r="BJ16" s="24">
        <v>5229942</v>
      </c>
      <c r="BK16" s="24">
        <v>3096371</v>
      </c>
      <c r="BL16" s="24">
        <v>103716</v>
      </c>
      <c r="BM16" s="24">
        <v>1659180</v>
      </c>
      <c r="BN16" s="24">
        <v>2153405</v>
      </c>
      <c r="BO16" s="24">
        <v>-17881950</v>
      </c>
      <c r="BP16" s="24">
        <v>1658522</v>
      </c>
      <c r="BQ16" s="24">
        <v>2147413</v>
      </c>
      <c r="BR16" s="24">
        <f t="shared" si="0"/>
        <v>27300068.991488002</v>
      </c>
      <c r="BS16" s="24">
        <f t="shared" si="1"/>
        <v>47700977.159899108</v>
      </c>
    </row>
    <row r="17" spans="1:71" s="15" customFormat="1" x14ac:dyDescent="0.25">
      <c r="A17" s="23" t="s">
        <v>52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62"/>
      <c r="M17" s="162"/>
      <c r="N17" s="24"/>
      <c r="O17" s="24"/>
      <c r="P17" s="24"/>
      <c r="Q17" s="24"/>
      <c r="R17" s="24"/>
      <c r="S17" s="24"/>
      <c r="T17" s="24"/>
      <c r="U17" s="24"/>
      <c r="V17" s="45">
        <v>66046.100000000006</v>
      </c>
      <c r="W17" s="45">
        <v>134446.26999999999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45"/>
      <c r="AS17" s="45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1"/>
      <c r="BS17" s="21"/>
    </row>
    <row r="18" spans="1:71" s="148" customFormat="1" ht="15" customHeight="1" x14ac:dyDescent="0.25">
      <c r="A18" s="46" t="s">
        <v>53</v>
      </c>
      <c r="B18" s="45"/>
      <c r="C18" s="45"/>
      <c r="D18" s="45">
        <v>10000</v>
      </c>
      <c r="E18" s="45">
        <v>10000</v>
      </c>
      <c r="F18" s="45"/>
      <c r="G18" s="45"/>
      <c r="H18" s="45">
        <v>103266</v>
      </c>
      <c r="I18" s="45">
        <v>103266</v>
      </c>
      <c r="J18" s="45">
        <v>563949</v>
      </c>
      <c r="K18" s="45">
        <v>563949</v>
      </c>
      <c r="L18" s="165">
        <v>67500</v>
      </c>
      <c r="M18" s="165">
        <v>135000</v>
      </c>
      <c r="N18" s="45">
        <v>-17645</v>
      </c>
      <c r="O18" s="45">
        <v>65430</v>
      </c>
      <c r="P18" s="45"/>
      <c r="Q18" s="45"/>
      <c r="R18" s="45">
        <v>37295</v>
      </c>
      <c r="S18" s="45">
        <v>37295</v>
      </c>
      <c r="T18" s="45"/>
      <c r="U18" s="45">
        <v>1995</v>
      </c>
      <c r="V18" s="45"/>
      <c r="W18" s="45"/>
      <c r="X18" s="45"/>
      <c r="Y18" s="45">
        <v>36250</v>
      </c>
      <c r="Z18" s="45"/>
      <c r="AA18" s="45"/>
      <c r="AB18" s="45">
        <v>1093592</v>
      </c>
      <c r="AC18" s="45">
        <v>1578181</v>
      </c>
      <c r="AD18" s="45"/>
      <c r="AE18" s="45">
        <v>7729</v>
      </c>
      <c r="AF18" s="45">
        <v>400000</v>
      </c>
      <c r="AG18" s="45">
        <v>400000</v>
      </c>
      <c r="AH18" s="45"/>
      <c r="AI18" s="45"/>
      <c r="AJ18" s="45"/>
      <c r="AK18" s="45"/>
      <c r="AL18" s="45">
        <v>-20644</v>
      </c>
      <c r="AM18" s="45"/>
      <c r="AN18" s="45">
        <v>45008</v>
      </c>
      <c r="AO18" s="45">
        <v>75000</v>
      </c>
      <c r="AP18" s="45">
        <v>8482</v>
      </c>
      <c r="AQ18" s="45">
        <v>24114</v>
      </c>
      <c r="AR18" s="45"/>
      <c r="AS18" s="45"/>
      <c r="AT18" s="45">
        <v>11264</v>
      </c>
      <c r="AU18" s="45">
        <v>11264</v>
      </c>
      <c r="AV18" s="45">
        <v>49988</v>
      </c>
      <c r="AW18" s="45">
        <v>49988</v>
      </c>
      <c r="AX18" s="45">
        <v>175000</v>
      </c>
      <c r="AY18" s="45">
        <v>245000</v>
      </c>
      <c r="AZ18" s="45"/>
      <c r="BA18" s="45"/>
      <c r="BB18" s="45"/>
      <c r="BC18" s="45"/>
      <c r="BD18" s="45"/>
      <c r="BE18" s="45"/>
      <c r="BF18" s="45">
        <v>102209</v>
      </c>
      <c r="BG18" s="45">
        <v>131114</v>
      </c>
      <c r="BH18" s="45"/>
      <c r="BI18" s="45"/>
      <c r="BJ18" s="45"/>
      <c r="BK18" s="45"/>
      <c r="BL18" s="45"/>
      <c r="BM18" s="45"/>
      <c r="BN18" s="45">
        <v>-16426</v>
      </c>
      <c r="BO18" s="45">
        <v>21727</v>
      </c>
      <c r="BP18" s="45"/>
      <c r="BQ18" s="45"/>
      <c r="BR18" s="45">
        <f t="shared" si="0"/>
        <v>2612838</v>
      </c>
      <c r="BS18" s="45">
        <f t="shared" si="1"/>
        <v>3497302</v>
      </c>
    </row>
    <row r="19" spans="1:71" s="148" customFormat="1" x14ac:dyDescent="0.25">
      <c r="A19" s="46" t="s">
        <v>54</v>
      </c>
      <c r="B19" s="45"/>
      <c r="C19" s="45"/>
      <c r="D19" s="45"/>
      <c r="E19" s="45"/>
      <c r="F19" s="45">
        <v>150000</v>
      </c>
      <c r="G19" s="45">
        <v>150000</v>
      </c>
      <c r="H19" s="45"/>
      <c r="I19" s="45"/>
      <c r="J19" s="45">
        <v>4173</v>
      </c>
      <c r="K19" s="45">
        <v>13807</v>
      </c>
      <c r="L19" s="165">
        <v>38647</v>
      </c>
      <c r="M19" s="165">
        <v>38647</v>
      </c>
      <c r="N19" s="45">
        <v>-22000</v>
      </c>
      <c r="O19" s="45">
        <v>150528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>
        <v>7038</v>
      </c>
      <c r="AC19" s="45">
        <v>7038</v>
      </c>
      <c r="AD19" s="45">
        <v>213739</v>
      </c>
      <c r="AE19" s="45">
        <v>-382880</v>
      </c>
      <c r="AF19" s="45">
        <v>7078</v>
      </c>
      <c r="AG19" s="45">
        <v>7078</v>
      </c>
      <c r="AH19" s="45"/>
      <c r="AI19" s="45"/>
      <c r="AJ19" s="45">
        <v>-293</v>
      </c>
      <c r="AK19" s="45">
        <v>52435</v>
      </c>
      <c r="AL19" s="45">
        <v>947</v>
      </c>
      <c r="AM19" s="45">
        <v>947</v>
      </c>
      <c r="AN19" s="45">
        <v>46716</v>
      </c>
      <c r="AO19" s="45">
        <v>84671</v>
      </c>
      <c r="AP19" s="45">
        <v>702335</v>
      </c>
      <c r="AQ19" s="45">
        <v>702335</v>
      </c>
      <c r="AR19" s="45">
        <v>460239</v>
      </c>
      <c r="AS19" s="45">
        <v>454469</v>
      </c>
      <c r="AT19" s="45">
        <v>118208</v>
      </c>
      <c r="AU19" s="45">
        <v>122047</v>
      </c>
      <c r="AV19" s="45"/>
      <c r="AW19" s="45"/>
      <c r="AX19" s="45">
        <v>-23211</v>
      </c>
      <c r="AY19" s="45">
        <v>16776</v>
      </c>
      <c r="AZ19" s="45"/>
      <c r="BA19" s="45"/>
      <c r="BB19" s="45">
        <v>97907</v>
      </c>
      <c r="BC19" s="45">
        <v>97907</v>
      </c>
      <c r="BD19" s="45">
        <v>30382</v>
      </c>
      <c r="BE19" s="45">
        <v>30382</v>
      </c>
      <c r="BF19" s="45"/>
      <c r="BG19" s="45"/>
      <c r="BH19" s="45">
        <v>1081</v>
      </c>
      <c r="BI19" s="45">
        <v>2026</v>
      </c>
      <c r="BJ19" s="45"/>
      <c r="BK19" s="45"/>
      <c r="BL19" s="45">
        <v>5216</v>
      </c>
      <c r="BM19" s="45">
        <v>52271</v>
      </c>
      <c r="BN19" s="45">
        <v>32778</v>
      </c>
      <c r="BO19" s="45">
        <v>30486</v>
      </c>
      <c r="BP19" s="45"/>
      <c r="BQ19" s="45"/>
      <c r="BR19" s="45">
        <f t="shared" si="0"/>
        <v>1870980</v>
      </c>
      <c r="BS19" s="45">
        <f t="shared" si="1"/>
        <v>1630970</v>
      </c>
    </row>
    <row r="20" spans="1:71" s="148" customFormat="1" x14ac:dyDescent="0.25">
      <c r="A20" s="46" t="s">
        <v>215</v>
      </c>
      <c r="B20" s="45"/>
      <c r="C20" s="45"/>
      <c r="D20" s="45"/>
      <c r="E20" s="45"/>
      <c r="F20" s="45">
        <v>400000</v>
      </c>
      <c r="G20" s="45">
        <v>400000</v>
      </c>
      <c r="H20" s="45"/>
      <c r="I20" s="45"/>
      <c r="J20" s="45"/>
      <c r="K20" s="45"/>
      <c r="L20" s="163"/>
      <c r="M20" s="16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>
        <v>-30068</v>
      </c>
      <c r="AF20" s="45"/>
      <c r="AG20" s="45"/>
      <c r="AH20" s="45"/>
      <c r="AI20" s="45"/>
      <c r="AJ20" s="45"/>
      <c r="AK20" s="45"/>
      <c r="AL20" s="45"/>
      <c r="AM20" s="45">
        <v>240</v>
      </c>
      <c r="AN20" s="45"/>
      <c r="AO20" s="45"/>
      <c r="AP20" s="45">
        <v>270371</v>
      </c>
      <c r="AQ20" s="45">
        <v>270371</v>
      </c>
      <c r="AR20" s="45">
        <v>-135819</v>
      </c>
      <c r="AS20" s="45">
        <v>46749</v>
      </c>
      <c r="AT20" s="45">
        <v>15485</v>
      </c>
      <c r="AU20" s="45">
        <v>62792</v>
      </c>
      <c r="AV20" s="45"/>
      <c r="AW20" s="45"/>
      <c r="AX20" s="45"/>
      <c r="AY20" s="45"/>
      <c r="AZ20" s="45"/>
      <c r="BA20" s="45"/>
      <c r="BB20" s="45"/>
      <c r="BC20" s="45"/>
      <c r="BD20" s="45">
        <v>19699</v>
      </c>
      <c r="BE20" s="45">
        <v>19699</v>
      </c>
      <c r="BF20" s="45"/>
      <c r="BG20" s="45"/>
      <c r="BH20" s="45"/>
      <c r="BI20" s="45"/>
      <c r="BJ20" s="45">
        <v>32760</v>
      </c>
      <c r="BK20" s="45">
        <v>39975</v>
      </c>
      <c r="BL20" s="45"/>
      <c r="BM20" s="45"/>
      <c r="BN20" s="45"/>
      <c r="BO20" s="45"/>
      <c r="BP20" s="45"/>
      <c r="BQ20" s="45"/>
      <c r="BR20" s="45">
        <f t="shared" si="0"/>
        <v>602496</v>
      </c>
      <c r="BS20" s="45">
        <f t="shared" si="1"/>
        <v>809758</v>
      </c>
    </row>
    <row r="21" spans="1:71" x14ac:dyDescent="0.25">
      <c r="A21" s="23" t="s">
        <v>221</v>
      </c>
      <c r="B21" s="21">
        <v>4446</v>
      </c>
      <c r="C21" s="21">
        <v>14246</v>
      </c>
      <c r="D21" s="21">
        <v>41020</v>
      </c>
      <c r="E21" s="21">
        <v>59093</v>
      </c>
      <c r="F21" s="21">
        <f>F22-F20-F19</f>
        <v>55397</v>
      </c>
      <c r="G21" s="21">
        <f>G22-G20-G19</f>
        <v>147155</v>
      </c>
      <c r="H21" s="21">
        <v>944736</v>
      </c>
      <c r="I21" s="21">
        <v>1105979</v>
      </c>
      <c r="J21" s="21">
        <v>133862</v>
      </c>
      <c r="K21" s="21">
        <v>305770</v>
      </c>
      <c r="L21" s="112">
        <f>L22-L18-L19</f>
        <v>1376432</v>
      </c>
      <c r="M21" s="112">
        <f>M22-M18-M19</f>
        <v>1534687</v>
      </c>
      <c r="N21" s="112">
        <f t="shared" ref="N21:O21" si="2">N22-N18-N19</f>
        <v>259117</v>
      </c>
      <c r="O21" s="112">
        <f t="shared" si="2"/>
        <v>403492</v>
      </c>
      <c r="P21" s="21">
        <v>42057</v>
      </c>
      <c r="Q21" s="21">
        <v>106024</v>
      </c>
      <c r="R21" s="21">
        <v>4522</v>
      </c>
      <c r="S21" s="21">
        <v>16394</v>
      </c>
      <c r="T21" s="21">
        <f>T22-T18</f>
        <v>21989</v>
      </c>
      <c r="U21" s="21">
        <f>U22-U18</f>
        <v>31720</v>
      </c>
      <c r="V21" s="21">
        <f>V22-V17</f>
        <v>27377.959999999992</v>
      </c>
      <c r="W21" s="21">
        <f>W22-W17</f>
        <v>104539.1</v>
      </c>
      <c r="X21" s="21">
        <v>-809</v>
      </c>
      <c r="Y21" s="21">
        <v>45559</v>
      </c>
      <c r="Z21" s="21">
        <v>13969</v>
      </c>
      <c r="AA21" s="21">
        <v>30471</v>
      </c>
      <c r="AB21" s="21">
        <f>19795+36533+65589+3752+500</f>
        <v>126169</v>
      </c>
      <c r="AC21" s="21">
        <f>83351+40901+266000+3752+500</f>
        <v>394504</v>
      </c>
      <c r="AD21" s="21">
        <v>436774</v>
      </c>
      <c r="AE21" s="21">
        <v>1478304</v>
      </c>
      <c r="AF21" s="21">
        <v>15077</v>
      </c>
      <c r="AG21" s="21">
        <v>60577</v>
      </c>
      <c r="AH21" s="21">
        <v>5600</v>
      </c>
      <c r="AI21" s="21">
        <v>12921</v>
      </c>
      <c r="AJ21" s="21">
        <f>AJ22-AJ19</f>
        <v>730355</v>
      </c>
      <c r="AK21" s="21">
        <f>AK22-AK19</f>
        <v>775663</v>
      </c>
      <c r="AL21" s="21">
        <v>123330</v>
      </c>
      <c r="AM21" s="21">
        <v>136162</v>
      </c>
      <c r="AN21" s="21">
        <f>15381+516346</f>
        <v>531727</v>
      </c>
      <c r="AO21" s="21">
        <f>35065+1365000</f>
        <v>1400065</v>
      </c>
      <c r="AP21" s="21">
        <v>265069</v>
      </c>
      <c r="AQ21" s="21">
        <v>904607</v>
      </c>
      <c r="AR21" s="44">
        <v>340487</v>
      </c>
      <c r="AS21" s="44">
        <v>376163</v>
      </c>
      <c r="AT21" s="21">
        <f>-158276+13</f>
        <v>-158263</v>
      </c>
      <c r="AU21" s="21">
        <f>-45029+154</f>
        <v>-44875</v>
      </c>
      <c r="AV21" s="21">
        <f>18749+3631+33113</f>
        <v>55493</v>
      </c>
      <c r="AW21" s="21">
        <f>21754+3631+127447</f>
        <v>152832</v>
      </c>
      <c r="AX21" s="21">
        <f>AX22-AX19-AX18</f>
        <v>101226</v>
      </c>
      <c r="AY21" s="21">
        <f>AY22-AY19-AY18</f>
        <v>373248</v>
      </c>
      <c r="AZ21" s="21">
        <v>2709</v>
      </c>
      <c r="BA21" s="21">
        <v>285576</v>
      </c>
      <c r="BB21" s="21">
        <f>BB22-BB19</f>
        <v>1869510</v>
      </c>
      <c r="BC21" s="21">
        <f>BC22-BC19</f>
        <v>1957723</v>
      </c>
      <c r="BD21" s="21">
        <v>36495</v>
      </c>
      <c r="BE21" s="21">
        <v>141240</v>
      </c>
      <c r="BF21" s="21">
        <v>12648</v>
      </c>
      <c r="BG21" s="21">
        <v>34088</v>
      </c>
      <c r="BH21" s="21">
        <v>2311</v>
      </c>
      <c r="BI21" s="21">
        <v>33375</v>
      </c>
      <c r="BJ21" s="21">
        <f>BJ22-BJ20</f>
        <v>141658</v>
      </c>
      <c r="BK21" s="21">
        <f>BK22-BK20</f>
        <v>385540</v>
      </c>
      <c r="BL21" s="45">
        <f>BL22-BL19</f>
        <v>88233</v>
      </c>
      <c r="BM21" s="45">
        <f>BM22-BM19</f>
        <v>265811</v>
      </c>
      <c r="BN21" s="21">
        <v>215530</v>
      </c>
      <c r="BO21" s="21">
        <v>844942</v>
      </c>
      <c r="BP21" s="21">
        <v>14155</v>
      </c>
      <c r="BQ21" s="21">
        <v>80335</v>
      </c>
      <c r="BR21" s="21">
        <f t="shared" si="0"/>
        <v>7877699.96</v>
      </c>
      <c r="BS21" s="21">
        <f t="shared" si="1"/>
        <v>13668354.1</v>
      </c>
    </row>
    <row r="22" spans="1:71" s="15" customFormat="1" x14ac:dyDescent="0.25">
      <c r="A22" s="23" t="s">
        <v>40</v>
      </c>
      <c r="B22" s="24">
        <v>4446</v>
      </c>
      <c r="C22" s="24">
        <v>14246</v>
      </c>
      <c r="D22" s="24">
        <v>51020</v>
      </c>
      <c r="E22" s="24">
        <v>69093</v>
      </c>
      <c r="F22" s="24">
        <v>605397</v>
      </c>
      <c r="G22" s="24">
        <v>697155</v>
      </c>
      <c r="H22" s="24">
        <v>1048002</v>
      </c>
      <c r="I22" s="24">
        <v>1209245</v>
      </c>
      <c r="J22" s="24">
        <v>701984</v>
      </c>
      <c r="K22" s="24">
        <v>883526</v>
      </c>
      <c r="L22" s="162">
        <v>1482579</v>
      </c>
      <c r="M22" s="162">
        <v>1708334</v>
      </c>
      <c r="N22" s="24">
        <v>219472</v>
      </c>
      <c r="O22" s="24">
        <v>619450</v>
      </c>
      <c r="P22" s="24">
        <v>42057</v>
      </c>
      <c r="Q22" s="24">
        <v>106024</v>
      </c>
      <c r="R22" s="24">
        <v>41817</v>
      </c>
      <c r="S22" s="24">
        <v>53689</v>
      </c>
      <c r="T22" s="24">
        <v>21989</v>
      </c>
      <c r="U22" s="24">
        <v>33715</v>
      </c>
      <c r="V22" s="24">
        <v>93424.06</v>
      </c>
      <c r="W22" s="24">
        <v>238985.37</v>
      </c>
      <c r="X22" s="24">
        <v>-809</v>
      </c>
      <c r="Y22" s="24">
        <v>81809</v>
      </c>
      <c r="Z22" s="24">
        <v>13969</v>
      </c>
      <c r="AA22" s="24">
        <v>30471</v>
      </c>
      <c r="AB22" s="24">
        <v>1226800</v>
      </c>
      <c r="AC22" s="24">
        <v>1979723</v>
      </c>
      <c r="AD22" s="24">
        <v>650513</v>
      </c>
      <c r="AE22" s="24">
        <v>1073085</v>
      </c>
      <c r="AF22" s="24">
        <v>422155</v>
      </c>
      <c r="AG22" s="24">
        <v>467655</v>
      </c>
      <c r="AH22" s="24">
        <v>5600</v>
      </c>
      <c r="AI22" s="24">
        <v>12921</v>
      </c>
      <c r="AJ22" s="24">
        <v>730062</v>
      </c>
      <c r="AK22" s="24">
        <v>828098</v>
      </c>
      <c r="AL22" s="24">
        <v>103633</v>
      </c>
      <c r="AM22" s="24">
        <v>137349</v>
      </c>
      <c r="AN22" s="24">
        <v>623451</v>
      </c>
      <c r="AO22" s="24">
        <v>1559736</v>
      </c>
      <c r="AP22" s="24">
        <v>1246256.8076749998</v>
      </c>
      <c r="AQ22" s="24">
        <v>1901426.8076749998</v>
      </c>
      <c r="AR22" s="24">
        <v>664906</v>
      </c>
      <c r="AS22" s="24">
        <v>877381</v>
      </c>
      <c r="AT22" s="24">
        <v>-13306</v>
      </c>
      <c r="AU22" s="24">
        <v>151228</v>
      </c>
      <c r="AV22" s="24">
        <v>105481</v>
      </c>
      <c r="AW22" s="24">
        <v>202820</v>
      </c>
      <c r="AX22" s="24">
        <v>253015</v>
      </c>
      <c r="AY22" s="24">
        <v>635024</v>
      </c>
      <c r="AZ22" s="24">
        <v>2709</v>
      </c>
      <c r="BA22" s="24">
        <v>285576</v>
      </c>
      <c r="BB22" s="24">
        <v>1967417</v>
      </c>
      <c r="BC22" s="24">
        <v>2055630</v>
      </c>
      <c r="BD22" s="24">
        <v>86576</v>
      </c>
      <c r="BE22" s="24">
        <v>191321</v>
      </c>
      <c r="BF22" s="24">
        <v>114857</v>
      </c>
      <c r="BG22" s="24">
        <v>165202</v>
      </c>
      <c r="BH22" s="24">
        <v>3392</v>
      </c>
      <c r="BI22" s="24">
        <v>35401</v>
      </c>
      <c r="BJ22" s="24">
        <v>174418</v>
      </c>
      <c r="BK22" s="24">
        <v>425515</v>
      </c>
      <c r="BL22" s="24">
        <v>93449</v>
      </c>
      <c r="BM22" s="24">
        <v>318082</v>
      </c>
      <c r="BN22" s="24">
        <v>231882</v>
      </c>
      <c r="BO22" s="24">
        <v>897155</v>
      </c>
      <c r="BP22" s="24">
        <v>14155</v>
      </c>
      <c r="BQ22" s="24">
        <v>80335</v>
      </c>
      <c r="BR22" s="24">
        <f t="shared" si="0"/>
        <v>13030059.867674999</v>
      </c>
      <c r="BS22" s="24">
        <f t="shared" si="1"/>
        <v>19740830.177675001</v>
      </c>
    </row>
    <row r="23" spans="1:71" s="15" customFormat="1" x14ac:dyDescent="0.25">
      <c r="A23" s="23" t="s">
        <v>151</v>
      </c>
      <c r="B23" s="24"/>
      <c r="C23" s="24"/>
      <c r="D23" s="24">
        <v>-651793</v>
      </c>
      <c r="E23" s="24">
        <v>-2545003</v>
      </c>
      <c r="F23" s="24">
        <v>1632227</v>
      </c>
      <c r="G23" s="24">
        <v>6548997</v>
      </c>
      <c r="H23" s="24">
        <v>1148893</v>
      </c>
      <c r="I23" s="24">
        <v>112030</v>
      </c>
      <c r="J23" s="24">
        <v>1219572</v>
      </c>
      <c r="K23" s="24">
        <v>11515164</v>
      </c>
      <c r="L23" s="162">
        <v>25309</v>
      </c>
      <c r="M23" s="162">
        <v>30419</v>
      </c>
      <c r="N23" s="24">
        <v>324711</v>
      </c>
      <c r="O23" s="24">
        <v>2505886</v>
      </c>
      <c r="P23" s="24">
        <v>-270346</v>
      </c>
      <c r="Q23" s="24">
        <v>-1654029</v>
      </c>
      <c r="R23" s="24">
        <v>4291</v>
      </c>
      <c r="S23" s="24">
        <v>-288297</v>
      </c>
      <c r="T23" s="24">
        <v>-188486</v>
      </c>
      <c r="U23" s="24">
        <v>-576425</v>
      </c>
      <c r="V23" s="24">
        <v>464647.39</v>
      </c>
      <c r="W23" s="24">
        <v>3143879.9</v>
      </c>
      <c r="X23" s="24">
        <v>-194826</v>
      </c>
      <c r="Y23" s="24">
        <v>1025824</v>
      </c>
      <c r="Z23" s="24">
        <v>-1133514</v>
      </c>
      <c r="AA23" s="24">
        <v>-2708739</v>
      </c>
      <c r="AB23" s="24">
        <v>214135</v>
      </c>
      <c r="AC23" s="24">
        <v>4672297</v>
      </c>
      <c r="AD23" s="24">
        <v>3454933</v>
      </c>
      <c r="AE23" s="24">
        <v>15984164</v>
      </c>
      <c r="AF23" s="24">
        <v>187194</v>
      </c>
      <c r="AG23" s="24">
        <v>2352390</v>
      </c>
      <c r="AH23" s="24">
        <v>-82544</v>
      </c>
      <c r="AI23" s="24">
        <v>-348994</v>
      </c>
      <c r="AJ23" s="24">
        <v>-478527</v>
      </c>
      <c r="AK23" s="24">
        <v>-1384653</v>
      </c>
      <c r="AL23" s="24">
        <v>-135370</v>
      </c>
      <c r="AM23" s="24">
        <v>-82045</v>
      </c>
      <c r="AN23" s="24">
        <v>65424</v>
      </c>
      <c r="AO23" s="24">
        <v>-483869</v>
      </c>
      <c r="AP23" s="24">
        <v>-5186940.2661869954</v>
      </c>
      <c r="AQ23" s="24">
        <v>-16962854.917775888</v>
      </c>
      <c r="AR23" s="24">
        <v>-3380249</v>
      </c>
      <c r="AS23" s="24">
        <v>6448683</v>
      </c>
      <c r="AT23" s="24">
        <v>2048727</v>
      </c>
      <c r="AU23" s="24">
        <v>-4289906</v>
      </c>
      <c r="AV23" s="24">
        <v>-90999</v>
      </c>
      <c r="AW23" s="24">
        <v>-219033</v>
      </c>
      <c r="AX23" s="24">
        <v>646896</v>
      </c>
      <c r="AY23" s="24">
        <v>2120227</v>
      </c>
      <c r="AZ23" s="24">
        <v>-304108</v>
      </c>
      <c r="BA23" s="24">
        <v>-812340</v>
      </c>
      <c r="BB23" s="24">
        <v>222427</v>
      </c>
      <c r="BC23" s="24">
        <v>569176</v>
      </c>
      <c r="BD23" s="24">
        <v>417247</v>
      </c>
      <c r="BE23" s="24">
        <v>1820116</v>
      </c>
      <c r="BF23" s="24">
        <v>915026</v>
      </c>
      <c r="BG23" s="24">
        <v>4697935</v>
      </c>
      <c r="BH23" s="24">
        <v>5098091</v>
      </c>
      <c r="BI23" s="24">
        <v>10000592</v>
      </c>
      <c r="BJ23" s="24">
        <v>5055524</v>
      </c>
      <c r="BK23" s="24">
        <v>2670856</v>
      </c>
      <c r="BL23" s="24">
        <v>10267</v>
      </c>
      <c r="BM23" s="24">
        <v>1341098</v>
      </c>
      <c r="BN23" s="24">
        <v>1921523</v>
      </c>
      <c r="BO23" s="24">
        <v>-18779105</v>
      </c>
      <c r="BP23" s="24">
        <v>1644367</v>
      </c>
      <c r="BQ23" s="24">
        <v>2067078</v>
      </c>
      <c r="BR23" s="24">
        <f t="shared" si="0"/>
        <v>14927837.123813005</v>
      </c>
      <c r="BS23" s="24">
        <f t="shared" si="1"/>
        <v>29303858.982224107</v>
      </c>
    </row>
    <row r="24" spans="1:71" x14ac:dyDescent="0.25">
      <c r="A24" s="25" t="s">
        <v>55</v>
      </c>
      <c r="B24" s="21"/>
      <c r="C24" s="21"/>
      <c r="D24" s="21"/>
      <c r="E24" s="21"/>
      <c r="F24" s="21">
        <v>461287</v>
      </c>
      <c r="G24" s="21">
        <v>2145679</v>
      </c>
      <c r="H24" s="21"/>
      <c r="I24" s="21"/>
      <c r="J24" s="21">
        <v>388561</v>
      </c>
      <c r="K24" s="21">
        <v>3716581</v>
      </c>
      <c r="L24" s="112"/>
      <c r="M24" s="112"/>
      <c r="N24" s="21">
        <v>58354</v>
      </c>
      <c r="O24" s="21">
        <v>716514</v>
      </c>
      <c r="P24" s="21"/>
      <c r="Q24" s="21"/>
      <c r="R24" s="21"/>
      <c r="S24" s="21"/>
      <c r="T24" s="21"/>
      <c r="U24" s="21"/>
      <c r="V24" s="21"/>
      <c r="W24" s="21"/>
      <c r="X24" s="21">
        <v>310833</v>
      </c>
      <c r="Y24" s="21">
        <v>152331</v>
      </c>
      <c r="Z24" s="21"/>
      <c r="AA24" s="21"/>
      <c r="AB24" s="21"/>
      <c r="AC24" s="21"/>
      <c r="AD24" s="21"/>
      <c r="AE24" s="21"/>
      <c r="AF24" s="21">
        <v>-84929</v>
      </c>
      <c r="AG24" s="21">
        <f>AG28-AG23</f>
        <v>-566171</v>
      </c>
      <c r="AH24" s="21"/>
      <c r="AI24" s="21"/>
      <c r="AJ24" s="21"/>
      <c r="AK24" s="21"/>
      <c r="AL24" s="21">
        <v>-96389</v>
      </c>
      <c r="AM24" s="21">
        <v>-96389</v>
      </c>
      <c r="AN24" s="21"/>
      <c r="AO24" s="21"/>
      <c r="AP24" s="21"/>
      <c r="AQ24" s="21"/>
      <c r="AR24" s="21"/>
      <c r="AS24" s="21"/>
      <c r="AT24" s="21">
        <v>1353297</v>
      </c>
      <c r="AU24" s="21">
        <v>1353297</v>
      </c>
      <c r="AV24" s="21">
        <v>-13453</v>
      </c>
      <c r="AW24" s="21">
        <v>-15503</v>
      </c>
      <c r="AX24" s="21"/>
      <c r="AY24" s="21"/>
      <c r="AZ24" s="21"/>
      <c r="BA24" s="21"/>
      <c r="BB24" s="21"/>
      <c r="BC24" s="21"/>
      <c r="BD24" s="21">
        <v>-136844</v>
      </c>
      <c r="BE24" s="21">
        <v>-608094</v>
      </c>
      <c r="BF24" s="21"/>
      <c r="BG24" s="21"/>
      <c r="BH24" s="21">
        <v>1804800</v>
      </c>
      <c r="BI24" s="21">
        <v>3372587</v>
      </c>
      <c r="BJ24" s="21"/>
      <c r="BK24" s="21"/>
      <c r="BL24" s="21"/>
      <c r="BM24" s="21"/>
      <c r="BN24" s="21"/>
      <c r="BO24" s="21"/>
      <c r="BP24" s="21"/>
      <c r="BQ24" s="21"/>
      <c r="BR24" s="21">
        <f t="shared" si="0"/>
        <v>4045517</v>
      </c>
      <c r="BS24" s="21">
        <f t="shared" si="1"/>
        <v>10170832</v>
      </c>
    </row>
    <row r="25" spans="1:71" x14ac:dyDescent="0.25">
      <c r="A25" s="25" t="s">
        <v>56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112"/>
      <c r="M25" s="112"/>
      <c r="N25" s="21"/>
      <c r="O25" s="21"/>
      <c r="P25" s="21"/>
      <c r="Q25" s="21"/>
      <c r="R25" s="21"/>
      <c r="S25" s="21"/>
      <c r="T25" s="21"/>
      <c r="U25" s="21"/>
      <c r="V25" s="21">
        <v>36000</v>
      </c>
      <c r="W25" s="21">
        <v>840000</v>
      </c>
      <c r="X25" s="21"/>
      <c r="Y25" s="21"/>
      <c r="Z25" s="21"/>
      <c r="AA25" s="21"/>
      <c r="AB25" s="21">
        <v>294493</v>
      </c>
      <c r="AC25" s="21">
        <v>1396384</v>
      </c>
      <c r="AD25" s="21">
        <v>1240106</v>
      </c>
      <c r="AE25" s="21">
        <v>6390007</v>
      </c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>
        <v>-768777</v>
      </c>
      <c r="AS25" s="21">
        <v>663089</v>
      </c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>
        <v>513168</v>
      </c>
      <c r="BG25" s="21">
        <v>1533168</v>
      </c>
      <c r="BH25" s="21"/>
      <c r="BI25" s="21"/>
      <c r="BJ25" s="21">
        <v>831083</v>
      </c>
      <c r="BK25" s="21">
        <v>831083</v>
      </c>
      <c r="BL25" s="21">
        <v>-57651</v>
      </c>
      <c r="BM25" s="21">
        <v>236805</v>
      </c>
      <c r="BN25" s="21"/>
      <c r="BO25" s="21"/>
      <c r="BP25" s="21">
        <v>573562</v>
      </c>
      <c r="BQ25" s="21">
        <v>694387</v>
      </c>
      <c r="BR25" s="21">
        <f t="shared" si="0"/>
        <v>2661984</v>
      </c>
      <c r="BS25" s="21">
        <f t="shared" si="1"/>
        <v>12584923</v>
      </c>
    </row>
    <row r="26" spans="1:71" x14ac:dyDescent="0.25">
      <c r="A26" s="25" t="s">
        <v>57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112"/>
      <c r="M26" s="112"/>
      <c r="N26" s="21"/>
      <c r="O26" s="21"/>
      <c r="P26" s="21"/>
      <c r="Q26" s="21"/>
      <c r="R26" s="21"/>
      <c r="S26" s="21"/>
      <c r="T26" s="21"/>
      <c r="U26" s="21"/>
      <c r="V26" s="21">
        <v>-87670.87</v>
      </c>
      <c r="W26" s="21">
        <v>-87670.87</v>
      </c>
      <c r="X26" s="21"/>
      <c r="Y26" s="21"/>
      <c r="Z26" s="21"/>
      <c r="AA26" s="21"/>
      <c r="AB26" s="21">
        <v>-453094</v>
      </c>
      <c r="AC26" s="21">
        <v>-553964</v>
      </c>
      <c r="AD26" s="21">
        <v>-62495</v>
      </c>
      <c r="AE26" s="21">
        <v>-898469</v>
      </c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>
        <v>93757</v>
      </c>
      <c r="AS26" s="21">
        <v>-12284</v>
      </c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>
        <v>-56343</v>
      </c>
      <c r="BG26" s="21">
        <v>-56343</v>
      </c>
      <c r="BH26" s="21"/>
      <c r="BI26" s="21"/>
      <c r="BJ26" s="21">
        <v>2441</v>
      </c>
      <c r="BK26" s="21">
        <v>2441</v>
      </c>
      <c r="BL26" s="21">
        <v>21642</v>
      </c>
      <c r="BM26" s="21">
        <v>-16550</v>
      </c>
      <c r="BN26" s="21"/>
      <c r="BO26" s="21"/>
      <c r="BP26" s="21">
        <v>-7085</v>
      </c>
      <c r="BQ26" s="21">
        <v>17290</v>
      </c>
      <c r="BR26" s="21">
        <f t="shared" si="0"/>
        <v>-548847.87</v>
      </c>
      <c r="BS26" s="21">
        <f t="shared" si="1"/>
        <v>-1605549.87</v>
      </c>
    </row>
    <row r="27" spans="1:71" ht="15" customHeight="1" x14ac:dyDescent="0.25">
      <c r="A27" s="25" t="s">
        <v>58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112"/>
      <c r="M27" s="112"/>
      <c r="N27" s="21"/>
      <c r="O27" s="21"/>
      <c r="P27" s="21"/>
      <c r="Q27" s="21"/>
      <c r="R27" s="21"/>
      <c r="S27" s="21"/>
      <c r="T27" s="21"/>
      <c r="U27" s="21"/>
      <c r="V27" s="21">
        <f>-3579.1+10.48</f>
        <v>-3568.62</v>
      </c>
      <c r="W27" s="21">
        <f>11929.3-64205.66</f>
        <v>-52276.36</v>
      </c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>
        <v>-9040578</v>
      </c>
      <c r="AK27" s="21">
        <v>-8134453</v>
      </c>
      <c r="AL27" s="21"/>
      <c r="AM27" s="21"/>
      <c r="AN27" s="21"/>
      <c r="AO27" s="21"/>
      <c r="AP27" s="21">
        <v>-1631</v>
      </c>
      <c r="AQ27" s="21">
        <v>-1631</v>
      </c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>
        <v>176403</v>
      </c>
      <c r="BG27" s="21">
        <v>-118810</v>
      </c>
      <c r="BH27" s="21"/>
      <c r="BI27" s="21"/>
      <c r="BJ27" s="21">
        <v>3158</v>
      </c>
      <c r="BK27" s="21">
        <v>3158</v>
      </c>
      <c r="BL27" s="24"/>
      <c r="BM27" s="24"/>
      <c r="BN27" s="21"/>
      <c r="BO27" s="21"/>
      <c r="BP27" s="21"/>
      <c r="BQ27" s="21"/>
      <c r="BR27" s="21">
        <f t="shared" si="0"/>
        <v>-8866216.6199999992</v>
      </c>
      <c r="BS27" s="21">
        <f t="shared" si="1"/>
        <v>-8304012.3600000003</v>
      </c>
    </row>
    <row r="28" spans="1:71" s="15" customFormat="1" x14ac:dyDescent="0.25">
      <c r="A28" s="23" t="s">
        <v>59</v>
      </c>
      <c r="B28" s="24">
        <v>-657831</v>
      </c>
      <c r="C28" s="24">
        <v>-1343715</v>
      </c>
      <c r="D28" s="24"/>
      <c r="E28" s="24"/>
      <c r="F28" s="24">
        <v>1170940</v>
      </c>
      <c r="G28" s="24">
        <v>4403318</v>
      </c>
      <c r="H28" s="24">
        <v>1148893</v>
      </c>
      <c r="I28" s="24">
        <v>112030</v>
      </c>
      <c r="J28" s="24">
        <v>831011</v>
      </c>
      <c r="K28" s="24">
        <v>7798583</v>
      </c>
      <c r="L28" s="162">
        <v>25309</v>
      </c>
      <c r="M28" s="162">
        <v>30419</v>
      </c>
      <c r="N28" s="24">
        <v>266357</v>
      </c>
      <c r="O28" s="24">
        <v>1789372</v>
      </c>
      <c r="P28" s="24">
        <v>-270346</v>
      </c>
      <c r="Q28" s="24">
        <v>-1654029</v>
      </c>
      <c r="R28" s="24">
        <v>4291</v>
      </c>
      <c r="S28" s="24">
        <v>-288297</v>
      </c>
      <c r="T28" s="24">
        <v>-188486</v>
      </c>
      <c r="U28" s="24">
        <v>-576425</v>
      </c>
      <c r="V28" s="24"/>
      <c r="W28" s="24"/>
      <c r="X28" s="24">
        <v>116007</v>
      </c>
      <c r="Y28" s="24">
        <v>1178155</v>
      </c>
      <c r="Z28" s="24">
        <v>-1133514</v>
      </c>
      <c r="AA28" s="24">
        <v>-2708739</v>
      </c>
      <c r="AB28" s="24">
        <v>372736</v>
      </c>
      <c r="AC28" s="24">
        <v>3829877</v>
      </c>
      <c r="AD28" s="24">
        <v>2277322</v>
      </c>
      <c r="AE28" s="24">
        <v>10492626</v>
      </c>
      <c r="AF28" s="24">
        <v>272123</v>
      </c>
      <c r="AG28" s="24">
        <v>1786219</v>
      </c>
      <c r="AH28" s="24">
        <v>-82544</v>
      </c>
      <c r="AI28" s="24">
        <v>-348994</v>
      </c>
      <c r="AJ28" s="24">
        <v>-9519106</v>
      </c>
      <c r="AK28" s="24">
        <v>-9519106</v>
      </c>
      <c r="AL28" s="24">
        <v>-38981</v>
      </c>
      <c r="AM28" s="24">
        <v>14344</v>
      </c>
      <c r="AN28" s="24">
        <v>65424</v>
      </c>
      <c r="AO28" s="24">
        <v>-483869</v>
      </c>
      <c r="AP28" s="24">
        <v>-5185309.2661869954</v>
      </c>
      <c r="AQ28" s="24">
        <v>-16961223.917775888</v>
      </c>
      <c r="AR28" s="24">
        <v>-2705229</v>
      </c>
      <c r="AS28" s="24">
        <v>5797878</v>
      </c>
      <c r="AT28" s="24">
        <v>3402024</v>
      </c>
      <c r="AU28" s="24">
        <v>-2936609</v>
      </c>
      <c r="AV28" s="24">
        <v>-77546</v>
      </c>
      <c r="AW28" s="24">
        <v>-203530</v>
      </c>
      <c r="AX28" s="24">
        <v>646896</v>
      </c>
      <c r="AY28" s="24">
        <v>2120227</v>
      </c>
      <c r="AZ28" s="24">
        <v>-304108</v>
      </c>
      <c r="BA28" s="24">
        <v>-812340</v>
      </c>
      <c r="BB28" s="24">
        <v>222427</v>
      </c>
      <c r="BC28" s="24">
        <v>569176</v>
      </c>
      <c r="BD28" s="24">
        <v>280403</v>
      </c>
      <c r="BE28" s="24">
        <v>1212022</v>
      </c>
      <c r="BF28" s="24">
        <v>281798</v>
      </c>
      <c r="BG28" s="24">
        <v>3339920</v>
      </c>
      <c r="BH28" s="24">
        <v>3293291</v>
      </c>
      <c r="BI28" s="24">
        <v>6628005</v>
      </c>
      <c r="BJ28" s="24">
        <v>4218842</v>
      </c>
      <c r="BK28" s="24">
        <v>1834174</v>
      </c>
      <c r="BL28" s="24">
        <v>46276</v>
      </c>
      <c r="BM28" s="24">
        <v>1120843</v>
      </c>
      <c r="BN28" s="24">
        <v>1921523</v>
      </c>
      <c r="BO28" s="24">
        <v>-18779105</v>
      </c>
      <c r="BP28" s="24">
        <v>1077890</v>
      </c>
      <c r="BQ28" s="24">
        <v>1355401</v>
      </c>
      <c r="BR28" s="24">
        <f t="shared" si="0"/>
        <v>2082890.7338130046</v>
      </c>
      <c r="BS28" s="24">
        <f t="shared" si="1"/>
        <v>-391052.917775888</v>
      </c>
    </row>
    <row r="29" spans="1:71" x14ac:dyDescent="0.25">
      <c r="K29" s="15"/>
    </row>
  </sheetData>
  <mergeCells count="35"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V3:AW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BR3:BS3"/>
    <mergeCell ref="BL3:BM3"/>
    <mergeCell ref="BN3:BO3"/>
    <mergeCell ref="BP3:BQ3"/>
    <mergeCell ref="AX3:AY3"/>
    <mergeCell ref="BB3:BC3"/>
    <mergeCell ref="BD3:BE3"/>
    <mergeCell ref="BF3:BG3"/>
    <mergeCell ref="BH3:BI3"/>
    <mergeCell ref="BJ3:BK3"/>
    <mergeCell ref="AZ3:B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workbookViewId="0">
      <pane xSplit="1" ySplit="3" topLeftCell="B16" activePane="bottomRight" state="frozen"/>
      <selection activeCell="AH7" sqref="AH7"/>
      <selection pane="topRight" activeCell="AH7" sqref="AH7"/>
      <selection pane="bottomLeft" activeCell="AH7" sqref="AH7"/>
      <selection pane="bottomRight" activeCell="B2" sqref="B2"/>
    </sheetView>
  </sheetViews>
  <sheetFormatPr defaultRowHeight="15" x14ac:dyDescent="0.25"/>
  <cols>
    <col min="1" max="1" width="33.140625" style="6" customWidth="1"/>
    <col min="2" max="33" width="16" style="4" customWidth="1"/>
    <col min="34" max="34" width="16" style="173" customWidth="1"/>
    <col min="35" max="36" width="16" style="4" customWidth="1"/>
    <col min="37" max="16384" width="9.140625" style="4"/>
  </cols>
  <sheetData>
    <row r="1" spans="1:36" ht="37.5" x14ac:dyDescent="0.3">
      <c r="A1" s="27" t="s">
        <v>323</v>
      </c>
    </row>
    <row r="2" spans="1:36" x14ac:dyDescent="0.25">
      <c r="A2" s="6" t="s">
        <v>43</v>
      </c>
    </row>
    <row r="3" spans="1:36" s="22" customFormat="1" x14ac:dyDescent="0.25">
      <c r="A3" s="26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03" t="s">
        <v>10</v>
      </c>
      <c r="L3" s="103" t="s">
        <v>11</v>
      </c>
      <c r="M3" s="103" t="s">
        <v>12</v>
      </c>
      <c r="N3" s="103" t="s">
        <v>13</v>
      </c>
      <c r="O3" s="103" t="s">
        <v>14</v>
      </c>
      <c r="P3" s="103" t="s">
        <v>15</v>
      </c>
      <c r="Q3" s="103" t="s">
        <v>16</v>
      </c>
      <c r="R3" s="103" t="s">
        <v>17</v>
      </c>
      <c r="S3" s="103" t="s">
        <v>18</v>
      </c>
      <c r="T3" s="103" t="s">
        <v>19</v>
      </c>
      <c r="U3" s="103" t="s">
        <v>20</v>
      </c>
      <c r="V3" s="103" t="s">
        <v>21</v>
      </c>
      <c r="W3" s="103" t="s">
        <v>147</v>
      </c>
      <c r="X3" s="103" t="s">
        <v>148</v>
      </c>
      <c r="Y3" s="103" t="s">
        <v>22</v>
      </c>
      <c r="Z3" s="103" t="s">
        <v>23</v>
      </c>
      <c r="AA3" s="103" t="s">
        <v>332</v>
      </c>
      <c r="AB3" s="103" t="s">
        <v>24</v>
      </c>
      <c r="AC3" s="103" t="s">
        <v>25</v>
      </c>
      <c r="AD3" s="103" t="s">
        <v>26</v>
      </c>
      <c r="AE3" s="103" t="s">
        <v>27</v>
      </c>
      <c r="AF3" s="103" t="s">
        <v>28</v>
      </c>
      <c r="AG3" s="103" t="s">
        <v>29</v>
      </c>
      <c r="AH3" s="168" t="s">
        <v>30</v>
      </c>
      <c r="AI3" s="103" t="s">
        <v>31</v>
      </c>
      <c r="AJ3" s="103" t="s">
        <v>250</v>
      </c>
    </row>
    <row r="4" spans="1:36" s="15" customFormat="1" x14ac:dyDescent="0.25">
      <c r="A4" s="23" t="s">
        <v>60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74"/>
      <c r="AI4" s="24"/>
      <c r="AJ4" s="24"/>
    </row>
    <row r="5" spans="1:36" x14ac:dyDescent="0.25">
      <c r="A5" s="25" t="s">
        <v>152</v>
      </c>
      <c r="B5" s="21">
        <v>2360000</v>
      </c>
      <c r="C5" s="21">
        <v>2120265</v>
      </c>
      <c r="D5" s="21">
        <v>2000000</v>
      </c>
      <c r="E5" s="21">
        <v>3584085</v>
      </c>
      <c r="F5" s="21">
        <v>1102273</v>
      </c>
      <c r="G5" s="21">
        <v>16214453</v>
      </c>
      <c r="H5" s="21">
        <v>2988057</v>
      </c>
      <c r="I5" s="21">
        <v>5908630</v>
      </c>
      <c r="J5" s="21">
        <v>1900500</v>
      </c>
      <c r="K5" s="21">
        <v>2080000</v>
      </c>
      <c r="L5" s="21">
        <v>20000000</v>
      </c>
      <c r="M5" s="21">
        <v>8098037</v>
      </c>
      <c r="N5" s="21">
        <v>6745652</v>
      </c>
      <c r="O5" s="21">
        <v>6054221</v>
      </c>
      <c r="P5" s="21">
        <v>4543099</v>
      </c>
      <c r="Q5" s="21">
        <v>2742183</v>
      </c>
      <c r="R5" s="21">
        <v>2200000</v>
      </c>
      <c r="S5" s="21">
        <v>10852250</v>
      </c>
      <c r="T5" s="21">
        <v>1250000</v>
      </c>
      <c r="U5" s="21">
        <v>9810000</v>
      </c>
      <c r="V5" s="21">
        <v>1000000</v>
      </c>
      <c r="W5" s="21">
        <v>8240000</v>
      </c>
      <c r="X5" s="21">
        <v>2000000</v>
      </c>
      <c r="Y5" s="21">
        <v>2070000</v>
      </c>
      <c r="Z5" s="21">
        <v>2515499</v>
      </c>
      <c r="AA5" s="21">
        <v>1865500</v>
      </c>
      <c r="AB5" s="21">
        <v>6885499</v>
      </c>
      <c r="AC5" s="21">
        <v>4490000</v>
      </c>
      <c r="AD5" s="21">
        <v>2155000</v>
      </c>
      <c r="AE5" s="21">
        <v>2590769</v>
      </c>
      <c r="AF5" s="21">
        <v>4555761</v>
      </c>
      <c r="AG5" s="21">
        <v>9075000</v>
      </c>
      <c r="AH5" s="175">
        <v>1500000</v>
      </c>
      <c r="AI5" s="21">
        <v>3681818</v>
      </c>
      <c r="AJ5" s="21">
        <f>SUM(B5:AI5)</f>
        <v>165178551</v>
      </c>
    </row>
    <row r="6" spans="1:36" ht="30" x14ac:dyDescent="0.25">
      <c r="A6" s="25" t="s">
        <v>153</v>
      </c>
      <c r="B6" s="21"/>
      <c r="C6" s="21"/>
      <c r="D6" s="21"/>
      <c r="E6" s="21">
        <v>2461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>
        <v>750000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>
        <v>3500000</v>
      </c>
      <c r="AG6" s="21"/>
      <c r="AH6" s="176"/>
      <c r="AI6" s="21"/>
      <c r="AJ6" s="21">
        <f t="shared" ref="AJ6:AJ30" si="0">SUM(B6:AI6)</f>
        <v>4252461</v>
      </c>
    </row>
    <row r="7" spans="1:36" x14ac:dyDescent="0.25">
      <c r="A7" s="25" t="s">
        <v>154</v>
      </c>
      <c r="B7" s="21"/>
      <c r="C7" s="21">
        <v>4929735</v>
      </c>
      <c r="D7" s="21">
        <v>37670953</v>
      </c>
      <c r="E7" s="21">
        <v>2638537</v>
      </c>
      <c r="F7" s="21">
        <v>49755345</v>
      </c>
      <c r="G7" s="21">
        <v>1720185</v>
      </c>
      <c r="H7" s="21">
        <v>11546479</v>
      </c>
      <c r="I7" s="21">
        <v>3271040</v>
      </c>
      <c r="J7" s="21"/>
      <c r="K7" s="21"/>
      <c r="L7" s="21">
        <v>24634114.66</v>
      </c>
      <c r="M7" s="21"/>
      <c r="N7" s="21">
        <v>1518025</v>
      </c>
      <c r="O7" s="21">
        <v>13769664</v>
      </c>
      <c r="P7" s="21">
        <v>48661507</v>
      </c>
      <c r="Q7" s="21">
        <v>19793391</v>
      </c>
      <c r="R7" s="21"/>
      <c r="S7" s="21">
        <v>3491250</v>
      </c>
      <c r="T7" s="44">
        <v>1830000</v>
      </c>
      <c r="U7" s="21"/>
      <c r="V7" s="21">
        <v>726932</v>
      </c>
      <c r="W7" s="21">
        <v>151211343</v>
      </c>
      <c r="X7" s="21">
        <v>26630277</v>
      </c>
      <c r="Y7" s="21">
        <v>35997</v>
      </c>
      <c r="Z7" s="21">
        <v>13504248</v>
      </c>
      <c r="AA7" s="21"/>
      <c r="AB7" s="21">
        <v>139887</v>
      </c>
      <c r="AC7" s="21">
        <v>6967283</v>
      </c>
      <c r="AD7" s="21">
        <v>16083776</v>
      </c>
      <c r="AE7" s="21">
        <v>16836095</v>
      </c>
      <c r="AF7" s="21">
        <v>6874318</v>
      </c>
      <c r="AG7" s="21">
        <v>10944913</v>
      </c>
      <c r="AH7" s="124">
        <v>27941321</v>
      </c>
      <c r="AI7" s="21">
        <v>5174692</v>
      </c>
      <c r="AJ7" s="21">
        <f t="shared" si="0"/>
        <v>508301307.65999997</v>
      </c>
    </row>
    <row r="8" spans="1:36" x14ac:dyDescent="0.25">
      <c r="A8" s="25" t="s">
        <v>207</v>
      </c>
      <c r="B8" s="21">
        <v>132</v>
      </c>
      <c r="C8" s="21">
        <v>332</v>
      </c>
      <c r="D8" s="21">
        <v>116290</v>
      </c>
      <c r="E8" s="21">
        <v>1584</v>
      </c>
      <c r="F8" s="21">
        <v>782463</v>
      </c>
      <c r="G8" s="21">
        <f>-4820-29197</f>
        <v>-34017</v>
      </c>
      <c r="H8" s="21">
        <f>14934+129537</f>
        <v>144471</v>
      </c>
      <c r="I8" s="21">
        <v>342</v>
      </c>
      <c r="J8" s="21">
        <v>145</v>
      </c>
      <c r="K8" s="21">
        <v>-7302</v>
      </c>
      <c r="L8" s="21">
        <v>3337171.35</v>
      </c>
      <c r="M8" s="21">
        <v>-73030</v>
      </c>
      <c r="N8" s="21">
        <v>-1811</v>
      </c>
      <c r="O8" s="21">
        <f>-57263-217528</f>
        <v>-274791</v>
      </c>
      <c r="P8" s="21">
        <v>3384213</v>
      </c>
      <c r="Q8" s="21">
        <v>-8438</v>
      </c>
      <c r="R8" s="21">
        <f>1341+3981</f>
        <v>5322</v>
      </c>
      <c r="S8" s="21">
        <v>1661</v>
      </c>
      <c r="T8" s="21">
        <v>133</v>
      </c>
      <c r="U8" s="21">
        <f>177+229</f>
        <v>406</v>
      </c>
      <c r="V8" s="21">
        <v>26069402</v>
      </c>
      <c r="W8" s="21">
        <v>222605782</v>
      </c>
      <c r="X8" s="21">
        <v>75856563</v>
      </c>
      <c r="Y8" s="21">
        <f>1231+1556</f>
        <v>2787</v>
      </c>
      <c r="Z8" s="21">
        <f>-52745-304523</f>
        <v>-357268</v>
      </c>
      <c r="AA8" s="21"/>
      <c r="AB8" s="21">
        <v>-16550</v>
      </c>
      <c r="AC8" s="21">
        <v>-116757</v>
      </c>
      <c r="AD8" s="21">
        <v>-34019</v>
      </c>
      <c r="AE8" s="21">
        <v>-33764</v>
      </c>
      <c r="AF8" s="21"/>
      <c r="AG8" s="21">
        <f>66885+291302</f>
        <v>358187</v>
      </c>
      <c r="AH8" s="176">
        <v>34541962</v>
      </c>
      <c r="AI8" s="21">
        <v>10277</v>
      </c>
      <c r="AJ8" s="21">
        <f t="shared" si="0"/>
        <v>366261878.35000002</v>
      </c>
    </row>
    <row r="9" spans="1:36" x14ac:dyDescent="0.25">
      <c r="A9" s="25" t="s">
        <v>155</v>
      </c>
      <c r="B9" s="21"/>
      <c r="C9" s="29"/>
      <c r="D9" s="21"/>
      <c r="E9" s="21">
        <v>1540000</v>
      </c>
      <c r="F9" s="21"/>
      <c r="G9" s="21">
        <v>2200000</v>
      </c>
      <c r="H9" s="21">
        <v>1000000</v>
      </c>
      <c r="I9" s="21">
        <v>430000</v>
      </c>
      <c r="J9" s="21"/>
      <c r="K9" s="21"/>
      <c r="L9" s="21"/>
      <c r="M9" s="21"/>
      <c r="N9" s="21"/>
      <c r="O9" s="21">
        <v>3500000</v>
      </c>
      <c r="P9" s="21">
        <v>4850000</v>
      </c>
      <c r="Q9" s="21"/>
      <c r="R9" s="21"/>
      <c r="S9" s="21"/>
      <c r="T9" s="21">
        <v>6162</v>
      </c>
      <c r="U9" s="21"/>
      <c r="V9" s="21">
        <v>8950000</v>
      </c>
      <c r="W9" s="21"/>
      <c r="X9" s="21">
        <v>7500000</v>
      </c>
      <c r="Y9" s="21"/>
      <c r="Z9" s="21">
        <v>2300000</v>
      </c>
      <c r="AA9" s="21"/>
      <c r="AB9" s="21"/>
      <c r="AC9" s="21">
        <v>1000000</v>
      </c>
      <c r="AD9" s="21"/>
      <c r="AE9" s="21"/>
      <c r="AF9" s="21">
        <v>2500000</v>
      </c>
      <c r="AG9" s="21">
        <v>1780000</v>
      </c>
      <c r="AH9" s="124">
        <v>9000000</v>
      </c>
      <c r="AI9" s="21"/>
      <c r="AJ9" s="21">
        <f t="shared" si="0"/>
        <v>46556162</v>
      </c>
    </row>
    <row r="10" spans="1:36" x14ac:dyDescent="0.25">
      <c r="A10" s="25" t="s">
        <v>214</v>
      </c>
      <c r="B10" s="21"/>
      <c r="C10" s="29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>
        <v>2441</v>
      </c>
      <c r="AG10" s="21"/>
      <c r="AH10" s="176"/>
      <c r="AI10" s="21">
        <v>6764</v>
      </c>
      <c r="AJ10" s="21">
        <f t="shared" si="0"/>
        <v>9205</v>
      </c>
    </row>
    <row r="11" spans="1:36" x14ac:dyDescent="0.25">
      <c r="A11" s="25" t="s">
        <v>171</v>
      </c>
      <c r="B11" s="21"/>
      <c r="C11" s="29"/>
      <c r="D11" s="21"/>
      <c r="E11" s="21"/>
      <c r="F11" s="21"/>
      <c r="G11" s="21"/>
      <c r="H11" s="21"/>
      <c r="I11" s="21"/>
      <c r="J11" s="21"/>
      <c r="K11" s="21"/>
      <c r="L11" s="21"/>
      <c r="M11" s="21">
        <v>8222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>
        <v>544</v>
      </c>
      <c r="AF11" s="21"/>
      <c r="AG11" s="21"/>
      <c r="AH11" s="176"/>
      <c r="AI11" s="21"/>
      <c r="AJ11" s="21">
        <f t="shared" si="0"/>
        <v>8766</v>
      </c>
    </row>
    <row r="12" spans="1:36" s="15" customFormat="1" x14ac:dyDescent="0.25">
      <c r="A12" s="23" t="s">
        <v>61</v>
      </c>
      <c r="B12" s="24">
        <v>2360132</v>
      </c>
      <c r="C12" s="24">
        <v>7050332</v>
      </c>
      <c r="D12" s="24">
        <v>39787243</v>
      </c>
      <c r="E12" s="24">
        <v>7766667</v>
      </c>
      <c r="F12" s="24">
        <v>51640081</v>
      </c>
      <c r="G12" s="24">
        <v>20100621</v>
      </c>
      <c r="H12" s="24">
        <v>15679007</v>
      </c>
      <c r="I12" s="24">
        <v>9610012</v>
      </c>
      <c r="J12" s="24">
        <v>1900645</v>
      </c>
      <c r="K12" s="24">
        <v>2072698</v>
      </c>
      <c r="L12" s="24">
        <v>47971286.009999998</v>
      </c>
      <c r="M12" s="24">
        <v>8033229</v>
      </c>
      <c r="N12" s="24">
        <v>8261866</v>
      </c>
      <c r="O12" s="24">
        <v>23049094</v>
      </c>
      <c r="P12" s="24">
        <v>61438819</v>
      </c>
      <c r="Q12" s="24">
        <v>22527136</v>
      </c>
      <c r="R12" s="24">
        <v>2205322</v>
      </c>
      <c r="S12" s="24">
        <v>14345161</v>
      </c>
      <c r="T12" s="24">
        <v>3836295</v>
      </c>
      <c r="U12" s="24">
        <v>9810406</v>
      </c>
      <c r="V12" s="24">
        <v>36746334</v>
      </c>
      <c r="W12" s="24">
        <v>382057125</v>
      </c>
      <c r="X12" s="24">
        <v>111986840</v>
      </c>
      <c r="Y12" s="24">
        <v>2108784</v>
      </c>
      <c r="Z12" s="24">
        <f>SUM(Z5:Z11)</f>
        <v>17962479</v>
      </c>
      <c r="AA12" s="24">
        <v>1865500</v>
      </c>
      <c r="AB12" s="24">
        <v>7008836</v>
      </c>
      <c r="AC12" s="24">
        <v>12340526</v>
      </c>
      <c r="AD12" s="24">
        <v>18204757</v>
      </c>
      <c r="AE12" s="24">
        <v>19393644</v>
      </c>
      <c r="AF12" s="24">
        <v>17432520</v>
      </c>
      <c r="AG12" s="24">
        <v>22158100</v>
      </c>
      <c r="AH12" s="177">
        <v>72983283</v>
      </c>
      <c r="AI12" s="24">
        <v>8873551</v>
      </c>
      <c r="AJ12" s="24">
        <f t="shared" si="0"/>
        <v>1090568331.01</v>
      </c>
    </row>
    <row r="13" spans="1:36" s="15" customFormat="1" x14ac:dyDescent="0.25">
      <c r="A13" s="23" t="s">
        <v>62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174"/>
      <c r="AI13" s="24"/>
      <c r="AJ13" s="21"/>
    </row>
    <row r="14" spans="1:36" x14ac:dyDescent="0.25">
      <c r="A14" s="25" t="s">
        <v>156</v>
      </c>
      <c r="B14" s="21">
        <v>870076</v>
      </c>
      <c r="C14" s="21">
        <v>1444639</v>
      </c>
      <c r="D14" s="21"/>
      <c r="E14" s="21">
        <v>2278590</v>
      </c>
      <c r="F14" s="21"/>
      <c r="G14" s="21">
        <v>5523363</v>
      </c>
      <c r="H14" s="21">
        <v>7848895</v>
      </c>
      <c r="I14" s="21">
        <v>1908653</v>
      </c>
      <c r="J14" s="21">
        <v>462497</v>
      </c>
      <c r="K14" s="21">
        <v>1679158</v>
      </c>
      <c r="L14" s="21"/>
      <c r="M14" s="21"/>
      <c r="N14" s="21">
        <v>7116983</v>
      </c>
      <c r="O14" s="21">
        <v>18971760</v>
      </c>
      <c r="P14" s="21"/>
      <c r="Q14" s="21">
        <v>19859914</v>
      </c>
      <c r="R14" s="21">
        <v>946114</v>
      </c>
      <c r="S14" s="21">
        <v>4676320</v>
      </c>
      <c r="T14" s="21">
        <v>1531785</v>
      </c>
      <c r="U14" s="21">
        <v>3299421</v>
      </c>
      <c r="V14" s="21">
        <v>1840316.0169726282</v>
      </c>
      <c r="W14" s="21"/>
      <c r="X14" s="21"/>
      <c r="Y14" s="21">
        <v>1819260</v>
      </c>
      <c r="Z14" s="21">
        <v>13880270</v>
      </c>
      <c r="AA14" s="21">
        <v>372383</v>
      </c>
      <c r="AB14" s="21"/>
      <c r="AC14" s="21">
        <v>10663990</v>
      </c>
      <c r="AD14" s="21">
        <v>14217711</v>
      </c>
      <c r="AE14" s="21"/>
      <c r="AF14" s="21"/>
      <c r="AG14" s="44">
        <v>18767460</v>
      </c>
      <c r="AH14" s="176"/>
      <c r="AI14" s="21">
        <v>3951970</v>
      </c>
      <c r="AJ14" s="21">
        <f t="shared" si="0"/>
        <v>143931528.01697263</v>
      </c>
    </row>
    <row r="15" spans="1:36" x14ac:dyDescent="0.25">
      <c r="A15" s="25" t="s">
        <v>157</v>
      </c>
      <c r="B15" s="21">
        <v>1238069</v>
      </c>
      <c r="C15" s="21">
        <v>3431875</v>
      </c>
      <c r="D15" s="21"/>
      <c r="E15" s="21">
        <v>12391492</v>
      </c>
      <c r="F15" s="21"/>
      <c r="G15" s="21">
        <v>33319105</v>
      </c>
      <c r="H15" s="21">
        <v>68112083</v>
      </c>
      <c r="I15" s="21">
        <v>3451423</v>
      </c>
      <c r="J15" s="21">
        <v>1586188</v>
      </c>
      <c r="K15" s="21">
        <v>346708</v>
      </c>
      <c r="L15" s="21"/>
      <c r="M15" s="21"/>
      <c r="N15" s="21">
        <v>7407100</v>
      </c>
      <c r="O15" s="21">
        <v>72068296</v>
      </c>
      <c r="P15" s="21"/>
      <c r="Q15" s="21">
        <v>69235852</v>
      </c>
      <c r="R15" s="21">
        <v>3202128</v>
      </c>
      <c r="S15" s="21">
        <v>13494419</v>
      </c>
      <c r="T15" s="21">
        <v>13091066</v>
      </c>
      <c r="U15" s="21">
        <v>4856322</v>
      </c>
      <c r="V15" s="21">
        <v>235081590.41172001</v>
      </c>
      <c r="W15" s="21"/>
      <c r="X15" s="21"/>
      <c r="Y15" s="21">
        <v>2298581</v>
      </c>
      <c r="Z15" s="21">
        <v>80136966</v>
      </c>
      <c r="AA15" s="21">
        <v>27588</v>
      </c>
      <c r="AB15" s="21"/>
      <c r="AC15" s="21">
        <v>40090972</v>
      </c>
      <c r="AD15" s="21">
        <v>49347973</v>
      </c>
      <c r="AE15" s="21"/>
      <c r="AF15" s="21"/>
      <c r="AG15" s="21">
        <v>81737363</v>
      </c>
      <c r="AH15" s="176"/>
      <c r="AI15" s="21">
        <v>19487947</v>
      </c>
      <c r="AJ15" s="21">
        <f t="shared" si="0"/>
        <v>815441106.41172004</v>
      </c>
    </row>
    <row r="16" spans="1:36" s="5" customFormat="1" x14ac:dyDescent="0.25">
      <c r="A16" s="30" t="s">
        <v>165</v>
      </c>
      <c r="B16" s="29"/>
      <c r="C16" s="29"/>
      <c r="D16" s="29">
        <v>69745372</v>
      </c>
      <c r="E16" s="29"/>
      <c r="F16" s="29">
        <v>167864429</v>
      </c>
      <c r="G16" s="29"/>
      <c r="H16" s="29"/>
      <c r="I16" s="29"/>
      <c r="J16" s="29"/>
      <c r="K16" s="29"/>
      <c r="L16" s="29">
        <v>100330542.14</v>
      </c>
      <c r="M16" s="29">
        <v>36285287</v>
      </c>
      <c r="N16" s="29"/>
      <c r="O16" s="29"/>
      <c r="P16" s="29">
        <v>222308215</v>
      </c>
      <c r="Q16" s="29"/>
      <c r="R16" s="29"/>
      <c r="S16" s="29"/>
      <c r="T16" s="29">
        <v>14622851</v>
      </c>
      <c r="U16" s="29"/>
      <c r="V16" s="29"/>
      <c r="W16" s="29">
        <v>591902008</v>
      </c>
      <c r="X16" s="29">
        <v>246258120</v>
      </c>
      <c r="Y16" s="29"/>
      <c r="Z16" s="29"/>
      <c r="AA16" s="29"/>
      <c r="AB16" s="29">
        <v>13016577</v>
      </c>
      <c r="AC16" s="29"/>
      <c r="AD16" s="29"/>
      <c r="AE16" s="29">
        <v>89382843</v>
      </c>
      <c r="AF16" s="29">
        <v>30301004</v>
      </c>
      <c r="AG16" s="29"/>
      <c r="AH16" s="178">
        <v>316566721</v>
      </c>
      <c r="AI16" s="29"/>
      <c r="AJ16" s="29">
        <f t="shared" si="0"/>
        <v>1898583969.1399999</v>
      </c>
    </row>
    <row r="17" spans="1:36" x14ac:dyDescent="0.25">
      <c r="A17" s="25" t="s">
        <v>158</v>
      </c>
      <c r="B17" s="21"/>
      <c r="C17" s="21"/>
      <c r="D17" s="21">
        <v>120461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>
        <v>59840</v>
      </c>
      <c r="U17" s="21"/>
      <c r="V17" s="21">
        <v>391396</v>
      </c>
      <c r="W17" s="21">
        <v>2787144</v>
      </c>
      <c r="X17" s="21">
        <v>1417212</v>
      </c>
      <c r="Y17" s="21"/>
      <c r="Z17" s="21"/>
      <c r="AA17" s="21"/>
      <c r="AB17" s="21"/>
      <c r="AC17" s="21"/>
      <c r="AD17" s="21"/>
      <c r="AE17" s="21"/>
      <c r="AF17" s="21"/>
      <c r="AG17" s="21"/>
      <c r="AH17" s="124">
        <v>1376635</v>
      </c>
      <c r="AI17" s="21"/>
      <c r="AJ17" s="21">
        <f t="shared" si="0"/>
        <v>6152688</v>
      </c>
    </row>
    <row r="18" spans="1:36" x14ac:dyDescent="0.25">
      <c r="A18" s="25" t="s">
        <v>159</v>
      </c>
      <c r="B18" s="21">
        <v>16673</v>
      </c>
      <c r="C18" s="21">
        <v>617433</v>
      </c>
      <c r="D18" s="44">
        <v>2795603</v>
      </c>
      <c r="E18" s="21">
        <v>427620</v>
      </c>
      <c r="F18" s="21">
        <v>3443909</v>
      </c>
      <c r="G18" s="21">
        <v>199746</v>
      </c>
      <c r="H18" s="21">
        <v>686952</v>
      </c>
      <c r="I18" s="21">
        <v>86465</v>
      </c>
      <c r="J18" s="21">
        <v>538003</v>
      </c>
      <c r="K18" s="21">
        <v>111791</v>
      </c>
      <c r="L18" s="21">
        <v>2708472.22</v>
      </c>
      <c r="M18" s="21">
        <v>168922</v>
      </c>
      <c r="N18" s="21">
        <v>146563</v>
      </c>
      <c r="O18" s="21">
        <v>2135050</v>
      </c>
      <c r="P18" s="21">
        <v>4652318</v>
      </c>
      <c r="Q18" s="21">
        <v>585090</v>
      </c>
      <c r="R18" s="21">
        <v>71284</v>
      </c>
      <c r="S18" s="21">
        <v>260812</v>
      </c>
      <c r="T18" s="21">
        <v>269860</v>
      </c>
      <c r="U18" s="21">
        <v>321020</v>
      </c>
      <c r="V18" s="21">
        <v>3742204</v>
      </c>
      <c r="W18" s="44">
        <v>5188969</v>
      </c>
      <c r="X18" s="21">
        <v>5901409</v>
      </c>
      <c r="Y18" s="21">
        <v>19686</v>
      </c>
      <c r="Z18" s="21">
        <v>334917</v>
      </c>
      <c r="AA18" s="21">
        <v>464569</v>
      </c>
      <c r="AB18" s="21">
        <v>564068</v>
      </c>
      <c r="AC18" s="21">
        <v>308900</v>
      </c>
      <c r="AD18" s="21">
        <v>909752</v>
      </c>
      <c r="AE18" s="21">
        <v>502382</v>
      </c>
      <c r="AF18" s="21">
        <v>980630</v>
      </c>
      <c r="AG18" s="21">
        <v>1931280</v>
      </c>
      <c r="AH18" s="124">
        <v>2477134</v>
      </c>
      <c r="AI18" s="21">
        <v>398589</v>
      </c>
      <c r="AJ18" s="21">
        <f t="shared" si="0"/>
        <v>43968075.219999999</v>
      </c>
    </row>
    <row r="19" spans="1:36" x14ac:dyDescent="0.25">
      <c r="A19" s="25" t="s">
        <v>160</v>
      </c>
      <c r="B19" s="21"/>
      <c r="C19" s="21"/>
      <c r="D19" s="21">
        <v>49047</v>
      </c>
      <c r="E19" s="21">
        <v>149806</v>
      </c>
      <c r="F19" s="21">
        <v>1543051</v>
      </c>
      <c r="G19" s="21"/>
      <c r="H19" s="21">
        <v>1623357</v>
      </c>
      <c r="I19" s="21"/>
      <c r="J19" s="21"/>
      <c r="K19" s="21"/>
      <c r="L19" s="21">
        <v>306952.63</v>
      </c>
      <c r="M19" s="21">
        <v>485949</v>
      </c>
      <c r="N19" s="21"/>
      <c r="O19" s="21">
        <v>517639</v>
      </c>
      <c r="P19" s="21">
        <v>3012597</v>
      </c>
      <c r="Q19" s="21">
        <v>384600</v>
      </c>
      <c r="R19" s="21"/>
      <c r="S19" s="21"/>
      <c r="T19" s="21">
        <v>282856</v>
      </c>
      <c r="U19" s="21"/>
      <c r="V19" s="21"/>
      <c r="W19" s="21">
        <v>2165715</v>
      </c>
      <c r="X19" s="21"/>
      <c r="Y19" s="21">
        <v>27937</v>
      </c>
      <c r="Z19" s="21">
        <v>372735</v>
      </c>
      <c r="AA19" s="21"/>
      <c r="AB19" s="21"/>
      <c r="AC19" s="21">
        <v>290180</v>
      </c>
      <c r="AD19" s="21">
        <v>422166</v>
      </c>
      <c r="AE19" s="21">
        <v>492315</v>
      </c>
      <c r="AF19" s="21"/>
      <c r="AG19" s="44">
        <v>346352</v>
      </c>
      <c r="AH19" s="176"/>
      <c r="AI19" s="21"/>
      <c r="AJ19" s="21">
        <f t="shared" si="0"/>
        <v>12473254.629999999</v>
      </c>
    </row>
    <row r="20" spans="1:36" s="5" customFormat="1" x14ac:dyDescent="0.25">
      <c r="A20" s="30" t="s">
        <v>161</v>
      </c>
      <c r="B20" s="29"/>
      <c r="C20" s="29"/>
      <c r="D20" s="21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1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179"/>
      <c r="AI20" s="29"/>
      <c r="AJ20" s="21"/>
    </row>
    <row r="21" spans="1:36" x14ac:dyDescent="0.25">
      <c r="A21" s="25" t="s">
        <v>63</v>
      </c>
      <c r="B21" s="21">
        <v>77957</v>
      </c>
      <c r="C21" s="21">
        <v>223440</v>
      </c>
      <c r="D21" s="21">
        <v>24663556</v>
      </c>
      <c r="E21" s="21">
        <v>3024972</v>
      </c>
      <c r="F21" s="44">
        <v>4557572</v>
      </c>
      <c r="G21" s="21">
        <v>1149532</v>
      </c>
      <c r="H21" s="44">
        <v>638287</v>
      </c>
      <c r="I21" s="21">
        <v>292230</v>
      </c>
      <c r="J21" s="21">
        <v>85196</v>
      </c>
      <c r="K21" s="21">
        <v>48996</v>
      </c>
      <c r="L21" s="44">
        <v>6519997.8700000001</v>
      </c>
      <c r="M21" s="21">
        <v>640808</v>
      </c>
      <c r="N21" s="21">
        <v>1129600</v>
      </c>
      <c r="O21" s="21">
        <v>3883282</v>
      </c>
      <c r="P21" s="21">
        <v>4016466</v>
      </c>
      <c r="Q21" s="21">
        <v>729312</v>
      </c>
      <c r="R21" s="21">
        <v>125948</v>
      </c>
      <c r="S21" s="44">
        <v>419061</v>
      </c>
      <c r="T21" s="21">
        <v>1142240</v>
      </c>
      <c r="U21" s="21">
        <v>298581</v>
      </c>
      <c r="V21" s="21">
        <v>13083277</v>
      </c>
      <c r="W21" s="21">
        <v>96048776</v>
      </c>
      <c r="X21" s="21">
        <v>26128511</v>
      </c>
      <c r="Y21" s="21">
        <v>75584</v>
      </c>
      <c r="Z21" s="21">
        <v>1624097</v>
      </c>
      <c r="AA21" s="21">
        <v>114194</v>
      </c>
      <c r="AB21" s="21">
        <v>402372</v>
      </c>
      <c r="AC21" s="21">
        <v>734942</v>
      </c>
      <c r="AD21" s="21">
        <v>1831051</v>
      </c>
      <c r="AE21" s="21">
        <v>560214</v>
      </c>
      <c r="AF21" s="21">
        <v>8930240</v>
      </c>
      <c r="AG21" s="44">
        <v>2920352</v>
      </c>
      <c r="AH21" s="124">
        <v>17617565</v>
      </c>
      <c r="AI21" s="21">
        <v>599918</v>
      </c>
      <c r="AJ21" s="21">
        <f t="shared" si="0"/>
        <v>224338126.87</v>
      </c>
    </row>
    <row r="22" spans="1:36" x14ac:dyDescent="0.25">
      <c r="A22" s="25" t="s">
        <v>64</v>
      </c>
      <c r="B22" s="21">
        <v>236636</v>
      </c>
      <c r="C22" s="21">
        <v>623244</v>
      </c>
      <c r="D22" s="44">
        <v>25193285</v>
      </c>
      <c r="E22" s="21">
        <v>1436214</v>
      </c>
      <c r="F22" s="21">
        <v>19838610</v>
      </c>
      <c r="G22" s="44">
        <v>6144312</v>
      </c>
      <c r="H22" s="21">
        <v>12033525</v>
      </c>
      <c r="I22" s="21">
        <v>359517</v>
      </c>
      <c r="J22" s="21">
        <v>589407</v>
      </c>
      <c r="K22" s="21">
        <v>406800</v>
      </c>
      <c r="L22" s="21">
        <v>8538966.6699999999</v>
      </c>
      <c r="M22" s="21">
        <v>7084611</v>
      </c>
      <c r="N22" s="21">
        <v>1773201</v>
      </c>
      <c r="O22" s="44">
        <v>17713394</v>
      </c>
      <c r="P22" s="21">
        <v>100036611</v>
      </c>
      <c r="Q22" s="21">
        <v>9904008</v>
      </c>
      <c r="R22" s="21">
        <v>333961</v>
      </c>
      <c r="S22" s="21">
        <v>1626096</v>
      </c>
      <c r="T22" s="21">
        <v>1846376</v>
      </c>
      <c r="U22" s="21">
        <v>1219617</v>
      </c>
      <c r="V22" s="21">
        <v>70202017</v>
      </c>
      <c r="W22" s="44">
        <v>96987131</v>
      </c>
      <c r="X22" s="21">
        <v>58202122</v>
      </c>
      <c r="Y22" s="21">
        <v>306729</v>
      </c>
      <c r="Z22" s="21">
        <v>11498589</v>
      </c>
      <c r="AA22" s="21">
        <v>139427</v>
      </c>
      <c r="AB22" s="21">
        <v>1730748</v>
      </c>
      <c r="AC22" s="21">
        <v>5713338</v>
      </c>
      <c r="AD22" s="21">
        <v>7043395</v>
      </c>
      <c r="AE22" s="21">
        <v>3806760</v>
      </c>
      <c r="AF22" s="44">
        <v>7116281</v>
      </c>
      <c r="AG22" s="21">
        <v>18421955</v>
      </c>
      <c r="AH22" s="124">
        <v>39013579</v>
      </c>
      <c r="AI22" s="21">
        <v>10121652</v>
      </c>
      <c r="AJ22" s="21">
        <f t="shared" si="0"/>
        <v>547242114.67000008</v>
      </c>
    </row>
    <row r="23" spans="1:36" s="5" customFormat="1" x14ac:dyDescent="0.25">
      <c r="A23" s="30" t="s">
        <v>65</v>
      </c>
      <c r="B23" s="29">
        <v>314593</v>
      </c>
      <c r="C23" s="21">
        <v>846684</v>
      </c>
      <c r="D23" s="29">
        <v>49856841</v>
      </c>
      <c r="E23" s="29">
        <v>4461186</v>
      </c>
      <c r="F23" s="29">
        <v>24396182</v>
      </c>
      <c r="G23" s="29">
        <v>7293844</v>
      </c>
      <c r="H23" s="29">
        <v>12671812</v>
      </c>
      <c r="I23" s="29">
        <v>651747</v>
      </c>
      <c r="J23" s="29">
        <v>674603</v>
      </c>
      <c r="K23" s="29">
        <v>455796</v>
      </c>
      <c r="L23" s="29">
        <v>15058964.539999999</v>
      </c>
      <c r="M23" s="29">
        <v>7725418</v>
      </c>
      <c r="N23" s="29">
        <v>2902801</v>
      </c>
      <c r="O23" s="29">
        <v>21596676</v>
      </c>
      <c r="P23" s="29">
        <v>104053077</v>
      </c>
      <c r="Q23" s="29">
        <v>10633320</v>
      </c>
      <c r="R23" s="29">
        <v>459909</v>
      </c>
      <c r="S23" s="29">
        <v>2045157</v>
      </c>
      <c r="T23" s="29">
        <v>2988616</v>
      </c>
      <c r="U23" s="29">
        <v>1518198</v>
      </c>
      <c r="V23" s="29">
        <v>83285294</v>
      </c>
      <c r="W23" s="29">
        <v>193035907</v>
      </c>
      <c r="X23" s="29">
        <v>84330633</v>
      </c>
      <c r="Y23" s="29">
        <v>382313</v>
      </c>
      <c r="Z23" s="29">
        <v>13122686</v>
      </c>
      <c r="AA23" s="29">
        <v>253621</v>
      </c>
      <c r="AB23" s="29">
        <v>2133120</v>
      </c>
      <c r="AC23" s="29">
        <v>6448280</v>
      </c>
      <c r="AD23" s="29">
        <v>8874446</v>
      </c>
      <c r="AE23" s="29">
        <v>4366974</v>
      </c>
      <c r="AF23" s="29">
        <v>16046521</v>
      </c>
      <c r="AG23" s="29">
        <v>21342307</v>
      </c>
      <c r="AH23" s="178">
        <v>56631144</v>
      </c>
      <c r="AI23" s="29">
        <v>10721570</v>
      </c>
      <c r="AJ23" s="29">
        <f t="shared" si="0"/>
        <v>771580240.53999996</v>
      </c>
    </row>
    <row r="24" spans="1:36" x14ac:dyDescent="0.25">
      <c r="A24" s="25" t="s">
        <v>162</v>
      </c>
      <c r="B24" s="21">
        <v>1003799</v>
      </c>
      <c r="C24" s="21">
        <v>2096740</v>
      </c>
      <c r="D24" s="21">
        <v>74041038</v>
      </c>
      <c r="E24" s="21">
        <v>5119388</v>
      </c>
      <c r="F24" s="21">
        <v>100765221</v>
      </c>
      <c r="G24" s="21">
        <v>31337633</v>
      </c>
      <c r="H24" s="21">
        <v>52592609</v>
      </c>
      <c r="I24" s="21">
        <v>1662276</v>
      </c>
      <c r="J24" s="21">
        <v>757961</v>
      </c>
      <c r="K24" s="21">
        <v>863024</v>
      </c>
      <c r="L24" s="21">
        <v>62964935.899999999</v>
      </c>
      <c r="M24" s="21">
        <v>26984580</v>
      </c>
      <c r="N24" s="21">
        <v>7502167</v>
      </c>
      <c r="O24" s="21">
        <v>63751506</v>
      </c>
      <c r="P24" s="21">
        <v>216228356</v>
      </c>
      <c r="Q24" s="21">
        <v>57787711</v>
      </c>
      <c r="R24" s="21">
        <v>1924213</v>
      </c>
      <c r="S24" s="21">
        <v>9844198</v>
      </c>
      <c r="T24" s="21">
        <v>11120140</v>
      </c>
      <c r="U24" s="21">
        <v>3659108</v>
      </c>
      <c r="V24" s="21">
        <v>236506117</v>
      </c>
      <c r="W24" s="21">
        <v>297877494</v>
      </c>
      <c r="X24" s="21">
        <v>160822835</v>
      </c>
      <c r="Y24" s="21">
        <v>1741173</v>
      </c>
      <c r="Z24" s="21">
        <v>74530797</v>
      </c>
      <c r="AA24" s="21">
        <v>242356</v>
      </c>
      <c r="AB24" s="21">
        <v>5436588</v>
      </c>
      <c r="AC24" s="21">
        <v>34049973</v>
      </c>
      <c r="AD24" s="21">
        <v>38259378</v>
      </c>
      <c r="AE24" s="21">
        <v>62976693</v>
      </c>
      <c r="AF24" s="21">
        <v>9134756</v>
      </c>
      <c r="AG24" s="21">
        <v>74675558</v>
      </c>
      <c r="AH24" s="124">
        <v>227850437</v>
      </c>
      <c r="AI24" s="21">
        <v>19388123</v>
      </c>
      <c r="AJ24" s="21">
        <f t="shared" si="0"/>
        <v>1975498881.9000001</v>
      </c>
    </row>
    <row r="25" spans="1:36" x14ac:dyDescent="0.25">
      <c r="A25" s="25" t="s">
        <v>163</v>
      </c>
      <c r="B25" s="21">
        <v>538867</v>
      </c>
      <c r="C25" s="21">
        <v>2649520</v>
      </c>
      <c r="D25" s="44">
        <v>8739043</v>
      </c>
      <c r="E25" s="21">
        <v>8686658</v>
      </c>
      <c r="F25" s="21">
        <v>44842269</v>
      </c>
      <c r="G25" s="21">
        <v>7624286</v>
      </c>
      <c r="H25" s="21">
        <v>22671483</v>
      </c>
      <c r="I25" s="21">
        <v>2366274</v>
      </c>
      <c r="J25" s="21">
        <v>1122660</v>
      </c>
      <c r="K25" s="21">
        <v>529671</v>
      </c>
      <c r="L25" s="21">
        <v>7468709.6200000001</v>
      </c>
      <c r="M25" s="21">
        <v>9859108</v>
      </c>
      <c r="N25" s="21">
        <v>5279383</v>
      </c>
      <c r="O25" s="21">
        <v>28488821</v>
      </c>
      <c r="P25" s="21">
        <v>56359032</v>
      </c>
      <c r="Q25" s="21">
        <v>20383929</v>
      </c>
      <c r="R25" s="21">
        <v>1671589</v>
      </c>
      <c r="S25" s="21">
        <v>5806455</v>
      </c>
      <c r="T25" s="21">
        <v>3528637</v>
      </c>
      <c r="U25" s="21">
        <v>3710880</v>
      </c>
      <c r="V25" s="21">
        <v>51088349</v>
      </c>
      <c r="W25" s="21">
        <v>116979824</v>
      </c>
      <c r="X25" s="21">
        <v>65097699</v>
      </c>
      <c r="Y25" s="21">
        <v>697821</v>
      </c>
      <c r="Z25" s="21">
        <v>15354298</v>
      </c>
      <c r="AA25" s="21">
        <v>18012</v>
      </c>
      <c r="AB25" s="21">
        <v>5880460</v>
      </c>
      <c r="AC25" s="21">
        <v>11411823</v>
      </c>
      <c r="AD25" s="21">
        <v>17307913</v>
      </c>
      <c r="AE25" s="21">
        <v>12374177</v>
      </c>
      <c r="AF25" s="21">
        <v>20760879</v>
      </c>
      <c r="AG25" s="21">
        <v>27291104</v>
      </c>
      <c r="AH25" s="124">
        <v>76217914</v>
      </c>
      <c r="AI25" s="21">
        <v>6298402</v>
      </c>
      <c r="AJ25" s="21">
        <f t="shared" si="0"/>
        <v>669105949.62</v>
      </c>
    </row>
    <row r="26" spans="1:36" s="5" customFormat="1" x14ac:dyDescent="0.25">
      <c r="A26" s="30" t="s">
        <v>66</v>
      </c>
      <c r="B26" s="29">
        <v>1542666</v>
      </c>
      <c r="C26" s="21">
        <v>4746260</v>
      </c>
      <c r="D26" s="29">
        <v>82780081</v>
      </c>
      <c r="E26" s="29">
        <v>13806046</v>
      </c>
      <c r="F26" s="29">
        <v>145607490</v>
      </c>
      <c r="G26" s="29">
        <v>38961919</v>
      </c>
      <c r="H26" s="29">
        <v>75264092</v>
      </c>
      <c r="I26" s="29">
        <v>4028551</v>
      </c>
      <c r="J26" s="29">
        <v>1880621</v>
      </c>
      <c r="K26" s="29">
        <v>1392695</v>
      </c>
      <c r="L26" s="29">
        <v>70433645.519999996</v>
      </c>
      <c r="M26" s="29">
        <v>36843688</v>
      </c>
      <c r="N26" s="29">
        <v>12781550</v>
      </c>
      <c r="O26" s="29">
        <v>92240327</v>
      </c>
      <c r="P26" s="29">
        <v>272587388</v>
      </c>
      <c r="Q26" s="29">
        <v>78171640</v>
      </c>
      <c r="R26" s="29">
        <v>3595802</v>
      </c>
      <c r="S26" s="29">
        <v>15650653</v>
      </c>
      <c r="T26" s="29">
        <v>14648777</v>
      </c>
      <c r="U26" s="29">
        <v>7369988</v>
      </c>
      <c r="V26" s="29">
        <v>287594466</v>
      </c>
      <c r="W26" s="29">
        <v>414857318</v>
      </c>
      <c r="X26" s="29">
        <v>225920534</v>
      </c>
      <c r="Y26" s="29">
        <v>2438993</v>
      </c>
      <c r="Z26" s="29">
        <v>89885095</v>
      </c>
      <c r="AA26" s="29">
        <v>260368</v>
      </c>
      <c r="AB26" s="29">
        <v>11317048</v>
      </c>
      <c r="AC26" s="29">
        <v>45461796</v>
      </c>
      <c r="AD26" s="29">
        <v>55567291</v>
      </c>
      <c r="AE26" s="29">
        <v>75350870</v>
      </c>
      <c r="AF26" s="29">
        <v>29895635</v>
      </c>
      <c r="AG26" s="29">
        <v>101966662</v>
      </c>
      <c r="AH26" s="178">
        <v>304068351</v>
      </c>
      <c r="AI26" s="29">
        <v>25686525</v>
      </c>
      <c r="AJ26" s="29">
        <f t="shared" si="0"/>
        <v>2644604831.52</v>
      </c>
    </row>
    <row r="27" spans="1:36" s="15" customFormat="1" x14ac:dyDescent="0.25">
      <c r="A27" s="23" t="s">
        <v>67</v>
      </c>
      <c r="B27" s="24">
        <v>-1228073</v>
      </c>
      <c r="C27" s="24">
        <v>-3899576</v>
      </c>
      <c r="D27" s="24">
        <v>-32923240</v>
      </c>
      <c r="E27" s="24">
        <v>-9344860</v>
      </c>
      <c r="F27" s="24">
        <v>-121211308</v>
      </c>
      <c r="G27" s="24">
        <v>-31668075</v>
      </c>
      <c r="H27" s="24">
        <v>-62592280</v>
      </c>
      <c r="I27" s="24">
        <v>-3376803</v>
      </c>
      <c r="J27" s="24">
        <v>-1206018</v>
      </c>
      <c r="K27" s="24">
        <v>-936899</v>
      </c>
      <c r="L27" s="24">
        <v>-55374680.979999997</v>
      </c>
      <c r="M27" s="24">
        <v>-29118270</v>
      </c>
      <c r="N27" s="24">
        <v>-9878749</v>
      </c>
      <c r="O27" s="24">
        <v>-70643651</v>
      </c>
      <c r="P27" s="24">
        <v>-168534311</v>
      </c>
      <c r="Q27" s="24">
        <v>-67538320</v>
      </c>
      <c r="R27" s="24">
        <v>-3135893</v>
      </c>
      <c r="S27" s="24">
        <v>-13605496</v>
      </c>
      <c r="T27" s="24">
        <v>-11660161</v>
      </c>
      <c r="U27" s="24">
        <v>-5851790</v>
      </c>
      <c r="V27" s="24">
        <v>-204309172</v>
      </c>
      <c r="W27" s="24">
        <v>-221821411</v>
      </c>
      <c r="X27" s="24">
        <v>-141589901</v>
      </c>
      <c r="Y27" s="24">
        <v>-2056681</v>
      </c>
      <c r="Z27" s="24">
        <v>-76762409</v>
      </c>
      <c r="AA27" s="24">
        <v>-6747</v>
      </c>
      <c r="AB27" s="24">
        <v>-9183928</v>
      </c>
      <c r="AC27" s="24">
        <v>-39013516</v>
      </c>
      <c r="AD27" s="24">
        <v>-46692845</v>
      </c>
      <c r="AE27" s="24">
        <v>-70983896</v>
      </c>
      <c r="AF27" s="24">
        <v>-13849114</v>
      </c>
      <c r="AG27" s="24">
        <v>-80624355</v>
      </c>
      <c r="AH27" s="177">
        <v>-247437207</v>
      </c>
      <c r="AI27" s="24">
        <v>-14964955</v>
      </c>
      <c r="AJ27" s="24">
        <f t="shared" si="0"/>
        <v>-1873024590.98</v>
      </c>
    </row>
    <row r="28" spans="1:36" ht="30" x14ac:dyDescent="0.25">
      <c r="A28" s="25" t="s">
        <v>164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>
        <v>1834700</v>
      </c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176"/>
      <c r="AI28" s="21"/>
      <c r="AJ28" s="21">
        <f t="shared" si="0"/>
        <v>1834700</v>
      </c>
    </row>
    <row r="29" spans="1:36" ht="30" x14ac:dyDescent="0.25">
      <c r="A29" s="25" t="s">
        <v>166</v>
      </c>
      <c r="B29" s="21">
        <v>1463387</v>
      </c>
      <c r="C29" s="21">
        <v>5455961</v>
      </c>
      <c r="D29" s="21"/>
      <c r="E29" s="21">
        <v>1864019</v>
      </c>
      <c r="F29" s="21"/>
      <c r="G29" s="21"/>
      <c r="H29" s="21"/>
      <c r="I29" s="44">
        <v>7540274</v>
      </c>
      <c r="J29" s="21">
        <v>519975</v>
      </c>
      <c r="K29" s="21">
        <v>871940</v>
      </c>
      <c r="L29" s="21"/>
      <c r="M29" s="21">
        <v>211340</v>
      </c>
      <c r="N29" s="21">
        <v>3469969</v>
      </c>
      <c r="O29" s="21"/>
      <c r="P29" s="21"/>
      <c r="Q29" s="21"/>
      <c r="R29" s="21">
        <v>1121689</v>
      </c>
      <c r="S29" s="21">
        <v>9519106</v>
      </c>
      <c r="T29" s="21">
        <v>261049</v>
      </c>
      <c r="U29" s="21">
        <v>7185434</v>
      </c>
      <c r="V29" s="21"/>
      <c r="W29" s="21"/>
      <c r="X29" s="21"/>
      <c r="Y29" s="21"/>
      <c r="Z29" s="21"/>
      <c r="AA29" s="21">
        <v>1007707</v>
      </c>
      <c r="AB29" s="21">
        <v>2612119</v>
      </c>
      <c r="AC29" s="21"/>
      <c r="AD29" s="21"/>
      <c r="AE29" s="21"/>
      <c r="AF29" s="21"/>
      <c r="AG29" s="21"/>
      <c r="AH29" s="176"/>
      <c r="AI29" s="21"/>
      <c r="AJ29" s="21">
        <f t="shared" si="0"/>
        <v>43103969</v>
      </c>
    </row>
    <row r="30" spans="1:36" s="15" customFormat="1" x14ac:dyDescent="0.25">
      <c r="A30" s="23" t="s">
        <v>61</v>
      </c>
      <c r="B30" s="24">
        <v>2360132</v>
      </c>
      <c r="C30" s="24">
        <v>7050332</v>
      </c>
      <c r="D30" s="24">
        <v>39787243</v>
      </c>
      <c r="E30" s="24">
        <v>7766667</v>
      </c>
      <c r="F30" s="24">
        <v>51640081</v>
      </c>
      <c r="G30" s="24">
        <v>20100621</v>
      </c>
      <c r="H30" s="24">
        <v>15679007</v>
      </c>
      <c r="I30" s="24">
        <v>9610012</v>
      </c>
      <c r="J30" s="24">
        <v>1900645</v>
      </c>
      <c r="K30" s="24">
        <v>2072698</v>
      </c>
      <c r="L30" s="24"/>
      <c r="M30" s="24">
        <v>8033229</v>
      </c>
      <c r="N30" s="24">
        <v>8261866</v>
      </c>
      <c r="O30" s="24">
        <v>23049094</v>
      </c>
      <c r="P30" s="24">
        <v>61438819</v>
      </c>
      <c r="Q30" s="24">
        <v>22527136</v>
      </c>
      <c r="R30" s="24">
        <v>2205322</v>
      </c>
      <c r="S30" s="24">
        <v>14345161</v>
      </c>
      <c r="T30" s="24">
        <v>3836295</v>
      </c>
      <c r="U30" s="24">
        <v>9810407</v>
      </c>
      <c r="V30" s="24">
        <v>36746334.428692639</v>
      </c>
      <c r="W30" s="24">
        <v>382057124</v>
      </c>
      <c r="X30" s="24">
        <v>111986840</v>
      </c>
      <c r="Y30" s="24">
        <v>2108784</v>
      </c>
      <c r="Z30" s="24">
        <v>17962479</v>
      </c>
      <c r="AA30" s="24">
        <v>1865500</v>
      </c>
      <c r="AB30" s="24">
        <v>7008836</v>
      </c>
      <c r="AC30" s="24">
        <v>12340526</v>
      </c>
      <c r="AD30" s="24">
        <v>18204757</v>
      </c>
      <c r="AE30" s="24">
        <v>19393644</v>
      </c>
      <c r="AF30" s="24">
        <v>17432520</v>
      </c>
      <c r="AG30" s="24">
        <v>22158100</v>
      </c>
      <c r="AH30" s="177">
        <v>72983283</v>
      </c>
      <c r="AI30" s="24">
        <v>8873551</v>
      </c>
      <c r="AJ30" s="24">
        <f t="shared" si="0"/>
        <v>1042597045.4286926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2"/>
  <sheetViews>
    <sheetView workbookViewId="0">
      <pane xSplit="1" ySplit="4" topLeftCell="B5" activePane="bottomRight" state="frozen"/>
      <selection activeCell="AE40" sqref="AE40"/>
      <selection pane="topRight" activeCell="AE40" sqref="AE40"/>
      <selection pane="bottomLeft" activeCell="AE40" sqref="AE40"/>
      <selection pane="bottomRight" activeCell="B5" sqref="B5"/>
    </sheetView>
  </sheetViews>
  <sheetFormatPr defaultRowHeight="15" x14ac:dyDescent="0.25"/>
  <cols>
    <col min="1" max="1" width="37.28515625" style="70" customWidth="1"/>
    <col min="2" max="71" width="15.28515625" style="10" customWidth="1"/>
    <col min="72" max="16384" width="9.140625" style="10"/>
  </cols>
  <sheetData>
    <row r="1" spans="1:71" ht="18.75" x14ac:dyDescent="0.3">
      <c r="A1" s="27" t="s">
        <v>185</v>
      </c>
    </row>
    <row r="2" spans="1:71" x14ac:dyDescent="0.25">
      <c r="A2" s="70" t="s">
        <v>43</v>
      </c>
    </row>
    <row r="3" spans="1:71" s="8" customFormat="1" x14ac:dyDescent="0.25">
      <c r="A3" s="7" t="s">
        <v>142</v>
      </c>
    </row>
    <row r="4" spans="1:71" s="15" customFormat="1" x14ac:dyDescent="0.25">
      <c r="A4" s="23" t="s">
        <v>0</v>
      </c>
      <c r="B4" s="200" t="s">
        <v>1</v>
      </c>
      <c r="C4" s="200"/>
      <c r="D4" s="200" t="s">
        <v>2</v>
      </c>
      <c r="E4" s="200"/>
      <c r="F4" s="200" t="s">
        <v>3</v>
      </c>
      <c r="G4" s="200"/>
      <c r="H4" s="200" t="s">
        <v>4</v>
      </c>
      <c r="I4" s="200"/>
      <c r="J4" s="200" t="s">
        <v>5</v>
      </c>
      <c r="K4" s="200"/>
      <c r="L4" s="200" t="s">
        <v>6</v>
      </c>
      <c r="M4" s="200"/>
      <c r="N4" s="200" t="s">
        <v>7</v>
      </c>
      <c r="O4" s="200"/>
      <c r="P4" s="200" t="s">
        <v>8</v>
      </c>
      <c r="Q4" s="200"/>
      <c r="R4" s="200" t="s">
        <v>9</v>
      </c>
      <c r="S4" s="200"/>
      <c r="T4" s="200" t="s">
        <v>10</v>
      </c>
      <c r="U4" s="200"/>
      <c r="V4" s="200" t="s">
        <v>11</v>
      </c>
      <c r="W4" s="200"/>
      <c r="X4" s="200" t="s">
        <v>12</v>
      </c>
      <c r="Y4" s="200"/>
      <c r="Z4" s="200" t="s">
        <v>13</v>
      </c>
      <c r="AA4" s="200"/>
      <c r="AB4" s="200" t="s">
        <v>14</v>
      </c>
      <c r="AC4" s="200"/>
      <c r="AD4" s="200" t="s">
        <v>15</v>
      </c>
      <c r="AE4" s="200"/>
      <c r="AF4" s="200" t="s">
        <v>16</v>
      </c>
      <c r="AG4" s="200"/>
      <c r="AH4" s="200" t="s">
        <v>17</v>
      </c>
      <c r="AI4" s="200"/>
      <c r="AJ4" s="200" t="s">
        <v>18</v>
      </c>
      <c r="AK4" s="200"/>
      <c r="AL4" s="200" t="s">
        <v>19</v>
      </c>
      <c r="AM4" s="200"/>
      <c r="AN4" s="200" t="s">
        <v>20</v>
      </c>
      <c r="AO4" s="200"/>
      <c r="AP4" s="200" t="s">
        <v>21</v>
      </c>
      <c r="AQ4" s="200"/>
      <c r="AR4" s="200" t="s">
        <v>147</v>
      </c>
      <c r="AS4" s="200"/>
      <c r="AT4" s="200" t="s">
        <v>148</v>
      </c>
      <c r="AU4" s="200"/>
      <c r="AV4" s="200" t="s">
        <v>22</v>
      </c>
      <c r="AW4" s="200"/>
      <c r="AX4" s="200" t="s">
        <v>23</v>
      </c>
      <c r="AY4" s="200"/>
      <c r="AZ4" s="200" t="s">
        <v>332</v>
      </c>
      <c r="BA4" s="200"/>
      <c r="BB4" s="200" t="s">
        <v>24</v>
      </c>
      <c r="BC4" s="200"/>
      <c r="BD4" s="200" t="s">
        <v>25</v>
      </c>
      <c r="BE4" s="200"/>
      <c r="BF4" s="200" t="s">
        <v>26</v>
      </c>
      <c r="BG4" s="200"/>
      <c r="BH4" s="200" t="s">
        <v>27</v>
      </c>
      <c r="BI4" s="200"/>
      <c r="BJ4" s="200" t="s">
        <v>28</v>
      </c>
      <c r="BK4" s="200"/>
      <c r="BL4" s="200" t="s">
        <v>29</v>
      </c>
      <c r="BM4" s="200"/>
      <c r="BN4" s="200" t="s">
        <v>30</v>
      </c>
      <c r="BO4" s="200"/>
      <c r="BP4" s="200" t="s">
        <v>31</v>
      </c>
      <c r="BQ4" s="200"/>
      <c r="BR4" s="200" t="s">
        <v>250</v>
      </c>
      <c r="BS4" s="200"/>
    </row>
    <row r="5" spans="1:71" s="61" customFormat="1" ht="44.25" customHeight="1" x14ac:dyDescent="0.25">
      <c r="A5" s="60"/>
      <c r="B5" s="60" t="s">
        <v>321</v>
      </c>
      <c r="C5" s="60" t="s">
        <v>322</v>
      </c>
      <c r="D5" s="60" t="s">
        <v>321</v>
      </c>
      <c r="E5" s="60" t="s">
        <v>322</v>
      </c>
      <c r="F5" s="60" t="s">
        <v>321</v>
      </c>
      <c r="G5" s="60" t="s">
        <v>322</v>
      </c>
      <c r="H5" s="60" t="s">
        <v>321</v>
      </c>
      <c r="I5" s="60" t="s">
        <v>322</v>
      </c>
      <c r="J5" s="60" t="s">
        <v>321</v>
      </c>
      <c r="K5" s="60" t="s">
        <v>322</v>
      </c>
      <c r="L5" s="60" t="s">
        <v>321</v>
      </c>
      <c r="M5" s="60" t="s">
        <v>322</v>
      </c>
      <c r="N5" s="60" t="s">
        <v>321</v>
      </c>
      <c r="O5" s="60" t="s">
        <v>322</v>
      </c>
      <c r="P5" s="60" t="s">
        <v>321</v>
      </c>
      <c r="Q5" s="60" t="s">
        <v>322</v>
      </c>
      <c r="R5" s="60" t="s">
        <v>321</v>
      </c>
      <c r="S5" s="60" t="s">
        <v>322</v>
      </c>
      <c r="T5" s="60" t="s">
        <v>321</v>
      </c>
      <c r="U5" s="60" t="s">
        <v>322</v>
      </c>
      <c r="V5" s="60" t="s">
        <v>321</v>
      </c>
      <c r="W5" s="60" t="s">
        <v>322</v>
      </c>
      <c r="X5" s="60" t="s">
        <v>321</v>
      </c>
      <c r="Y5" s="60" t="s">
        <v>322</v>
      </c>
      <c r="Z5" s="60" t="s">
        <v>321</v>
      </c>
      <c r="AA5" s="60" t="s">
        <v>322</v>
      </c>
      <c r="AB5" s="60" t="s">
        <v>321</v>
      </c>
      <c r="AC5" s="60" t="s">
        <v>322</v>
      </c>
      <c r="AD5" s="60" t="s">
        <v>321</v>
      </c>
      <c r="AE5" s="60" t="s">
        <v>322</v>
      </c>
      <c r="AF5" s="60" t="s">
        <v>321</v>
      </c>
      <c r="AG5" s="60" t="s">
        <v>322</v>
      </c>
      <c r="AH5" s="60" t="s">
        <v>321</v>
      </c>
      <c r="AI5" s="60" t="s">
        <v>322</v>
      </c>
      <c r="AJ5" s="60" t="s">
        <v>321</v>
      </c>
      <c r="AK5" s="60" t="s">
        <v>322</v>
      </c>
      <c r="AL5" s="60" t="s">
        <v>321</v>
      </c>
      <c r="AM5" s="60" t="s">
        <v>322</v>
      </c>
      <c r="AN5" s="60" t="s">
        <v>321</v>
      </c>
      <c r="AO5" s="60" t="s">
        <v>322</v>
      </c>
      <c r="AP5" s="60" t="s">
        <v>321</v>
      </c>
      <c r="AQ5" s="60" t="s">
        <v>322</v>
      </c>
      <c r="AR5" s="60" t="s">
        <v>321</v>
      </c>
      <c r="AS5" s="60" t="s">
        <v>322</v>
      </c>
      <c r="AT5" s="60" t="s">
        <v>321</v>
      </c>
      <c r="AU5" s="60" t="s">
        <v>322</v>
      </c>
      <c r="AV5" s="60" t="s">
        <v>321</v>
      </c>
      <c r="AW5" s="60" t="s">
        <v>322</v>
      </c>
      <c r="AX5" s="60" t="s">
        <v>321</v>
      </c>
      <c r="AY5" s="60" t="s">
        <v>322</v>
      </c>
      <c r="AZ5" s="60" t="s">
        <v>321</v>
      </c>
      <c r="BA5" s="60" t="s">
        <v>322</v>
      </c>
      <c r="BB5" s="60" t="s">
        <v>321</v>
      </c>
      <c r="BC5" s="60" t="s">
        <v>322</v>
      </c>
      <c r="BD5" s="60" t="s">
        <v>321</v>
      </c>
      <c r="BE5" s="60" t="s">
        <v>322</v>
      </c>
      <c r="BF5" s="60" t="s">
        <v>321</v>
      </c>
      <c r="BG5" s="60" t="s">
        <v>322</v>
      </c>
      <c r="BH5" s="60" t="s">
        <v>321</v>
      </c>
      <c r="BI5" s="60" t="s">
        <v>322</v>
      </c>
      <c r="BJ5" s="60" t="s">
        <v>321</v>
      </c>
      <c r="BK5" s="60" t="s">
        <v>322</v>
      </c>
      <c r="BL5" s="60" t="s">
        <v>321</v>
      </c>
      <c r="BM5" s="60" t="s">
        <v>322</v>
      </c>
      <c r="BN5" s="60" t="s">
        <v>321</v>
      </c>
      <c r="BO5" s="60" t="s">
        <v>322</v>
      </c>
      <c r="BP5" s="60" t="s">
        <v>321</v>
      </c>
      <c r="BQ5" s="60" t="s">
        <v>322</v>
      </c>
      <c r="BR5" s="60" t="s">
        <v>321</v>
      </c>
      <c r="BS5" s="60" t="s">
        <v>322</v>
      </c>
    </row>
    <row r="6" spans="1:71" x14ac:dyDescent="0.25">
      <c r="A6" s="44" t="s">
        <v>338</v>
      </c>
      <c r="B6" s="44"/>
      <c r="C6" s="44"/>
      <c r="D6" s="44"/>
      <c r="E6" s="44"/>
      <c r="F6" s="44"/>
      <c r="G6" s="44"/>
      <c r="H6" s="44"/>
      <c r="I6" s="44"/>
      <c r="J6" s="134">
        <v>2935345</v>
      </c>
      <c r="K6" s="44">
        <v>9461430</v>
      </c>
      <c r="L6" s="44">
        <v>354627</v>
      </c>
      <c r="M6" s="44">
        <v>1232560</v>
      </c>
      <c r="N6" s="44">
        <v>691861</v>
      </c>
      <c r="O6" s="44">
        <v>2646146</v>
      </c>
      <c r="P6" s="44"/>
      <c r="Q6" s="44"/>
      <c r="R6" s="44">
        <v>43777</v>
      </c>
      <c r="S6" s="44">
        <v>946347</v>
      </c>
      <c r="T6" s="44">
        <v>7889</v>
      </c>
      <c r="U6" s="44">
        <v>17068</v>
      </c>
      <c r="V6" s="44"/>
      <c r="W6" s="44"/>
      <c r="X6" s="44">
        <v>552004</v>
      </c>
      <c r="Y6" s="44">
        <v>2555687</v>
      </c>
      <c r="Z6" s="44">
        <v>20643</v>
      </c>
      <c r="AA6" s="44">
        <v>112477</v>
      </c>
      <c r="AB6" s="44">
        <v>1439372</v>
      </c>
      <c r="AC6" s="44">
        <v>7196478</v>
      </c>
      <c r="AD6" s="44">
        <v>2168706</v>
      </c>
      <c r="AE6" s="44">
        <v>10845870</v>
      </c>
      <c r="AF6" s="44">
        <v>837162</v>
      </c>
      <c r="AG6" s="44">
        <v>3277006</v>
      </c>
      <c r="AH6" s="44">
        <v>52924</v>
      </c>
      <c r="AI6" s="44">
        <v>162254</v>
      </c>
      <c r="AJ6" s="44">
        <v>75791</v>
      </c>
      <c r="AK6" s="44">
        <v>391304</v>
      </c>
      <c r="AL6" s="44">
        <v>220290</v>
      </c>
      <c r="AM6" s="44">
        <v>725716</v>
      </c>
      <c r="AN6" s="44"/>
      <c r="AO6" s="44"/>
      <c r="AP6" s="44">
        <v>2162428.1408389993</v>
      </c>
      <c r="AQ6" s="44">
        <v>8834484.8987887986</v>
      </c>
      <c r="AR6" s="44">
        <v>9667099</v>
      </c>
      <c r="AS6" s="44">
        <v>29772093</v>
      </c>
      <c r="AT6" s="44">
        <v>2315545</v>
      </c>
      <c r="AU6" s="44">
        <v>10673249</v>
      </c>
      <c r="AV6" s="44">
        <v>8378</v>
      </c>
      <c r="AW6" s="44">
        <v>24189</v>
      </c>
      <c r="AX6" s="44">
        <v>733631</v>
      </c>
      <c r="AY6" s="44">
        <v>4331498</v>
      </c>
      <c r="AZ6" s="44"/>
      <c r="BA6" s="44"/>
      <c r="BB6" s="44"/>
      <c r="BC6" s="44"/>
      <c r="BD6" s="116">
        <v>362736</v>
      </c>
      <c r="BE6" s="116">
        <v>1504742</v>
      </c>
      <c r="BF6" s="44">
        <v>3259233</v>
      </c>
      <c r="BG6" s="44">
        <v>9478434</v>
      </c>
      <c r="BH6" s="44">
        <v>80807</v>
      </c>
      <c r="BI6" s="44">
        <v>307816</v>
      </c>
      <c r="BJ6" s="44"/>
      <c r="BK6" s="44"/>
      <c r="BL6" s="44">
        <v>1239027</v>
      </c>
      <c r="BM6" s="44">
        <v>7429176</v>
      </c>
      <c r="BN6" s="44">
        <v>3395534</v>
      </c>
      <c r="BO6" s="44">
        <v>11729132</v>
      </c>
      <c r="BP6" s="44">
        <v>345570</v>
      </c>
      <c r="BQ6" s="44">
        <v>1467825</v>
      </c>
      <c r="BR6" s="44">
        <f t="shared" ref="BR6:BS10" si="0">B6+D6+F6+H6+J6+L6+N6+P6+R6+T6+V6+X6+Z6+AB6+AD6+AF6+AH6+AJ6+AL6+AN6+AP6+AR6+AT6+AV6+AX6+BB6+BD6+BF6+BH6+BJ6+BL6+BN6+BP6</f>
        <v>32970379.140838999</v>
      </c>
      <c r="BS6" s="44">
        <f t="shared" si="0"/>
        <v>125122981.89878879</v>
      </c>
    </row>
    <row r="7" spans="1:71" s="191" customFormat="1" ht="15" customHeight="1" x14ac:dyDescent="0.25">
      <c r="A7" s="186" t="s">
        <v>339</v>
      </c>
      <c r="B7" s="186"/>
      <c r="C7" s="186"/>
      <c r="D7" s="186"/>
      <c r="E7" s="186"/>
      <c r="F7" s="186"/>
      <c r="G7" s="186"/>
      <c r="H7" s="186"/>
      <c r="I7" s="186"/>
      <c r="J7" s="187">
        <v>74544</v>
      </c>
      <c r="K7" s="186">
        <v>306534</v>
      </c>
      <c r="L7" s="186">
        <v>15974</v>
      </c>
      <c r="M7" s="186">
        <v>222144</v>
      </c>
      <c r="N7" s="186">
        <v>14835</v>
      </c>
      <c r="O7" s="186">
        <v>81582</v>
      </c>
      <c r="P7" s="186"/>
      <c r="Q7" s="186"/>
      <c r="R7" s="186">
        <v>865</v>
      </c>
      <c r="S7" s="186">
        <v>4950</v>
      </c>
      <c r="T7" s="186">
        <v>4769</v>
      </c>
      <c r="U7" s="186">
        <v>25414</v>
      </c>
      <c r="V7" s="186"/>
      <c r="W7" s="186"/>
      <c r="X7" s="186">
        <v>50501</v>
      </c>
      <c r="Y7" s="186">
        <v>448899</v>
      </c>
      <c r="Z7" s="186">
        <v>146757</v>
      </c>
      <c r="AA7" s="186">
        <v>724900</v>
      </c>
      <c r="AB7" s="186">
        <v>193070</v>
      </c>
      <c r="AC7" s="186">
        <v>734006</v>
      </c>
      <c r="AD7" s="186">
        <v>122210</v>
      </c>
      <c r="AE7" s="186">
        <v>667183</v>
      </c>
      <c r="AF7" s="186">
        <v>-44222</v>
      </c>
      <c r="AG7" s="186">
        <v>505164</v>
      </c>
      <c r="AH7" s="186">
        <v>4323</v>
      </c>
      <c r="AI7" s="186">
        <v>21515</v>
      </c>
      <c r="AJ7" s="186">
        <v>13952</v>
      </c>
      <c r="AK7" s="186">
        <v>137756</v>
      </c>
      <c r="AL7" s="186">
        <v>69190</v>
      </c>
      <c r="AM7" s="186">
        <v>393490</v>
      </c>
      <c r="AN7" s="186"/>
      <c r="AO7" s="186"/>
      <c r="AP7" s="188">
        <v>400253.59859070007</v>
      </c>
      <c r="AQ7" s="189">
        <v>1373964.0168984002</v>
      </c>
      <c r="AR7" s="186">
        <v>3724692</v>
      </c>
      <c r="AS7" s="186">
        <v>11230815</v>
      </c>
      <c r="AT7" s="186">
        <v>327185</v>
      </c>
      <c r="AU7" s="186">
        <v>1715284</v>
      </c>
      <c r="AV7" s="186">
        <v>998</v>
      </c>
      <c r="AW7" s="186">
        <v>3922</v>
      </c>
      <c r="AX7" s="186">
        <v>226303</v>
      </c>
      <c r="AY7" s="186">
        <v>550752</v>
      </c>
      <c r="AZ7" s="186"/>
      <c r="BA7" s="186"/>
      <c r="BB7" s="186"/>
      <c r="BC7" s="186"/>
      <c r="BD7" s="190">
        <v>27055</v>
      </c>
      <c r="BE7" s="190">
        <v>212237</v>
      </c>
      <c r="BF7" s="186">
        <v>7408</v>
      </c>
      <c r="BG7" s="186">
        <v>85705</v>
      </c>
      <c r="BH7" s="186">
        <v>6817</v>
      </c>
      <c r="BI7" s="186">
        <v>38665</v>
      </c>
      <c r="BJ7" s="186"/>
      <c r="BK7" s="186"/>
      <c r="BL7" s="186">
        <v>135900</v>
      </c>
      <c r="BM7" s="186">
        <v>824181</v>
      </c>
      <c r="BN7" s="186">
        <v>277797</v>
      </c>
      <c r="BO7" s="186">
        <v>1147858</v>
      </c>
      <c r="BP7" s="186">
        <v>4324</v>
      </c>
      <c r="BQ7" s="186">
        <v>21515</v>
      </c>
      <c r="BR7" s="44">
        <f t="shared" ref="BR7:BR8" si="1">B7+D7+F7+H7+J7+L7+N7+P7+R7+T7+V7+X7+Z7+AB7+AD7+AF7+AH7+AJ7+AL7+AN7+AP7+AR7+AT7+AV7+AX7+BB7+BD7+BF7+BH7+BJ7+BL7+BN7+BP7</f>
        <v>5805500.5985907</v>
      </c>
      <c r="BS7" s="44">
        <f t="shared" ref="BS7:BS8" si="2">C7+E7+G7+I7+K7+M7+O7+Q7+S7+U7+W7+Y7+AA7+AC7+AE7+AG7+AI7+AK7+AM7+AO7+AQ7+AS7+AU7+AW7+AY7+BC7+BE7+BG7+BI7+BK7+BM7+BO7+BQ7</f>
        <v>21478435.016898401</v>
      </c>
    </row>
    <row r="8" spans="1:71" s="191" customFormat="1" ht="15" customHeight="1" x14ac:dyDescent="0.25">
      <c r="A8" s="186" t="s">
        <v>340</v>
      </c>
      <c r="B8" s="186"/>
      <c r="C8" s="186"/>
      <c r="D8" s="186"/>
      <c r="E8" s="186"/>
      <c r="F8" s="186"/>
      <c r="G8" s="186"/>
      <c r="H8" s="186"/>
      <c r="I8" s="186"/>
      <c r="J8" s="187">
        <v>2075859</v>
      </c>
      <c r="K8" s="186">
        <v>6866858</v>
      </c>
      <c r="L8" s="186">
        <v>278225</v>
      </c>
      <c r="M8" s="186">
        <v>1160465</v>
      </c>
      <c r="N8" s="186">
        <v>330401</v>
      </c>
      <c r="O8" s="186">
        <v>2096315</v>
      </c>
      <c r="P8" s="186"/>
      <c r="Q8" s="186"/>
      <c r="R8" s="186">
        <v>-388267</v>
      </c>
      <c r="S8" s="186">
        <v>-458415</v>
      </c>
      <c r="T8" s="186">
        <v>11621</v>
      </c>
      <c r="U8" s="186">
        <v>26312</v>
      </c>
      <c r="V8" s="186"/>
      <c r="W8" s="186"/>
      <c r="X8" s="186">
        <v>413709</v>
      </c>
      <c r="Y8" s="186">
        <v>2201303</v>
      </c>
      <c r="Z8" s="186">
        <v>159215</v>
      </c>
      <c r="AA8" s="186">
        <v>754798</v>
      </c>
      <c r="AB8" s="186">
        <v>-1214870</v>
      </c>
      <c r="AC8" s="186">
        <v>-6869655</v>
      </c>
      <c r="AD8" s="186">
        <v>1824862</v>
      </c>
      <c r="AE8" s="186">
        <v>9603349</v>
      </c>
      <c r="AF8" s="186">
        <v>553484</v>
      </c>
      <c r="AG8" s="186">
        <v>3229119</v>
      </c>
      <c r="AH8" s="186">
        <v>25889</v>
      </c>
      <c r="AI8" s="186">
        <v>90386</v>
      </c>
      <c r="AJ8" s="186">
        <v>33476</v>
      </c>
      <c r="AK8" s="186">
        <v>369336</v>
      </c>
      <c r="AL8" s="186">
        <v>-268972</v>
      </c>
      <c r="AM8" s="186">
        <v>-1042668</v>
      </c>
      <c r="AN8" s="186"/>
      <c r="AO8" s="186"/>
      <c r="AP8" s="188">
        <v>1032691.2376554636</v>
      </c>
      <c r="AQ8" s="189">
        <v>4332822.3220394636</v>
      </c>
      <c r="AR8" s="186">
        <v>7099770</v>
      </c>
      <c r="AS8" s="186">
        <v>19831613</v>
      </c>
      <c r="AT8" s="186">
        <v>1201749</v>
      </c>
      <c r="AU8" s="186">
        <v>6193316</v>
      </c>
      <c r="AV8" s="186">
        <v>7815</v>
      </c>
      <c r="AW8" s="186">
        <v>23070</v>
      </c>
      <c r="AX8" s="186">
        <v>581208</v>
      </c>
      <c r="AY8" s="186">
        <v>3334380</v>
      </c>
      <c r="AZ8" s="186"/>
      <c r="BA8" s="186"/>
      <c r="BB8" s="186"/>
      <c r="BC8" s="186"/>
      <c r="BD8" s="190">
        <v>-285990</v>
      </c>
      <c r="BE8" s="190">
        <v>-1322486</v>
      </c>
      <c r="BF8" s="186">
        <v>2363676</v>
      </c>
      <c r="BG8" s="186">
        <v>6949497</v>
      </c>
      <c r="BH8" s="186">
        <v>19862</v>
      </c>
      <c r="BI8" s="186">
        <v>90821</v>
      </c>
      <c r="BJ8" s="186"/>
      <c r="BK8" s="186"/>
      <c r="BL8" s="186">
        <v>710482</v>
      </c>
      <c r="BM8" s="186">
        <v>5621190</v>
      </c>
      <c r="BN8" s="186">
        <v>845242</v>
      </c>
      <c r="BO8" s="186">
        <v>5667432</v>
      </c>
      <c r="BP8" s="186">
        <v>124273</v>
      </c>
      <c r="BQ8" s="186">
        <v>832457</v>
      </c>
      <c r="BR8" s="44">
        <f t="shared" si="1"/>
        <v>17535410.237655465</v>
      </c>
      <c r="BS8" s="44">
        <f t="shared" si="2"/>
        <v>69581615.322039455</v>
      </c>
    </row>
    <row r="9" spans="1:71" x14ac:dyDescent="0.25">
      <c r="A9" s="44" t="s">
        <v>188</v>
      </c>
      <c r="B9" s="44"/>
      <c r="C9" s="44"/>
      <c r="D9" s="44"/>
      <c r="E9" s="44"/>
      <c r="F9" s="44"/>
      <c r="G9" s="44"/>
      <c r="H9" s="44"/>
      <c r="I9" s="44"/>
      <c r="J9" s="123">
        <v>934030</v>
      </c>
      <c r="K9" s="44">
        <v>2901106</v>
      </c>
      <c r="L9" s="44">
        <v>92375</v>
      </c>
      <c r="M9" s="44">
        <v>294239</v>
      </c>
      <c r="N9" s="44">
        <v>376295</v>
      </c>
      <c r="O9" s="44">
        <v>631413</v>
      </c>
      <c r="P9" s="44"/>
      <c r="Q9" s="44"/>
      <c r="R9" s="44">
        <v>-343625</v>
      </c>
      <c r="S9" s="44">
        <v>492882</v>
      </c>
      <c r="T9" s="44"/>
      <c r="U9" s="44"/>
      <c r="V9" s="44"/>
      <c r="W9" s="44"/>
      <c r="X9" s="44">
        <v>188796</v>
      </c>
      <c r="Y9" s="44">
        <v>803283</v>
      </c>
      <c r="Z9" s="44">
        <v>8185</v>
      </c>
      <c r="AA9" s="44">
        <v>82579</v>
      </c>
      <c r="AB9" s="44">
        <v>417571</v>
      </c>
      <c r="AC9" s="44">
        <v>1060828</v>
      </c>
      <c r="AD9" s="44">
        <v>466054</v>
      </c>
      <c r="AE9" s="44">
        <v>1909704</v>
      </c>
      <c r="AF9" s="44">
        <v>239456</v>
      </c>
      <c r="AG9" s="44">
        <v>553051</v>
      </c>
      <c r="AH9" s="119">
        <v>31358</v>
      </c>
      <c r="AI9" s="44">
        <v>93383</v>
      </c>
      <c r="AJ9" s="44">
        <v>56266</v>
      </c>
      <c r="AK9" s="44">
        <v>159725</v>
      </c>
      <c r="AL9" s="44">
        <v>20508</v>
      </c>
      <c r="AM9" s="44">
        <v>76538</v>
      </c>
      <c r="AN9" s="44"/>
      <c r="AO9" s="44"/>
      <c r="AP9" s="44">
        <v>1529990.5017742356</v>
      </c>
      <c r="AQ9" s="44">
        <v>5875626.5936477361</v>
      </c>
      <c r="AR9" s="44">
        <v>6292021</v>
      </c>
      <c r="AS9" s="44">
        <v>21171294</v>
      </c>
      <c r="AT9" s="44">
        <v>1440981</v>
      </c>
      <c r="AU9" s="44">
        <v>6195217</v>
      </c>
      <c r="AV9" s="44">
        <v>1561</v>
      </c>
      <c r="AW9" s="44">
        <v>5042</v>
      </c>
      <c r="AX9" s="44">
        <v>378726</v>
      </c>
      <c r="AY9" s="44">
        <v>1547870</v>
      </c>
      <c r="AZ9" s="44"/>
      <c r="BA9" s="44"/>
      <c r="BB9" s="44"/>
      <c r="BC9" s="44"/>
      <c r="BD9" s="51">
        <v>103801</v>
      </c>
      <c r="BE9" s="51">
        <v>394493</v>
      </c>
      <c r="BF9" s="44">
        <v>902965</v>
      </c>
      <c r="BG9" s="44">
        <v>2614642</v>
      </c>
      <c r="BH9" s="44">
        <v>67762</v>
      </c>
      <c r="BI9" s="44">
        <v>255660</v>
      </c>
      <c r="BJ9" s="44"/>
      <c r="BK9" s="44"/>
      <c r="BL9" s="44">
        <v>664445</v>
      </c>
      <c r="BM9" s="44">
        <v>2632167</v>
      </c>
      <c r="BN9" s="44">
        <v>2828089</v>
      </c>
      <c r="BO9" s="44">
        <v>7209558</v>
      </c>
      <c r="BP9" s="44">
        <v>225621</v>
      </c>
      <c r="BQ9" s="44">
        <v>656883</v>
      </c>
      <c r="BR9" s="44">
        <f t="shared" si="0"/>
        <v>16923231.501774237</v>
      </c>
      <c r="BS9" s="44">
        <f t="shared" si="0"/>
        <v>57617183.593647733</v>
      </c>
    </row>
    <row r="10" spans="1:71" x14ac:dyDescent="0.25">
      <c r="A10" s="44" t="s">
        <v>341</v>
      </c>
      <c r="B10" s="44"/>
      <c r="C10" s="44"/>
      <c r="D10" s="44"/>
      <c r="E10" s="44"/>
      <c r="F10" s="44"/>
      <c r="G10" s="44"/>
      <c r="H10" s="44"/>
      <c r="I10" s="44"/>
      <c r="J10" s="44">
        <v>502602</v>
      </c>
      <c r="K10" s="44">
        <v>1876444</v>
      </c>
      <c r="L10" s="44">
        <v>47839</v>
      </c>
      <c r="M10" s="44">
        <v>184328</v>
      </c>
      <c r="N10" s="44">
        <v>208305</v>
      </c>
      <c r="O10" s="44">
        <v>926409</v>
      </c>
      <c r="P10" s="44"/>
      <c r="Q10" s="44"/>
      <c r="R10" s="44">
        <v>35712</v>
      </c>
      <c r="S10" s="44">
        <v>522358</v>
      </c>
      <c r="T10" s="44">
        <v>-823</v>
      </c>
      <c r="U10" s="44">
        <v>6165</v>
      </c>
      <c r="V10" s="44"/>
      <c r="W10" s="44"/>
      <c r="X10" s="44">
        <v>186158</v>
      </c>
      <c r="Y10" s="44">
        <v>649348</v>
      </c>
      <c r="Z10" s="44">
        <v>9632</v>
      </c>
      <c r="AA10" s="44">
        <v>35600</v>
      </c>
      <c r="AB10" s="44">
        <v>277363</v>
      </c>
      <c r="AC10" s="44">
        <v>991370</v>
      </c>
      <c r="AD10" s="44">
        <v>441418</v>
      </c>
      <c r="AE10" s="44">
        <v>1578840</v>
      </c>
      <c r="AF10" s="44">
        <v>151235</v>
      </c>
      <c r="AG10" s="44">
        <v>471315</v>
      </c>
      <c r="AH10" s="44">
        <v>14968</v>
      </c>
      <c r="AI10" s="44">
        <v>49759</v>
      </c>
      <c r="AJ10" s="44">
        <v>7677</v>
      </c>
      <c r="AK10" s="44">
        <v>37497</v>
      </c>
      <c r="AL10" s="44">
        <v>12219</v>
      </c>
      <c r="AM10" s="44">
        <v>61970</v>
      </c>
      <c r="AN10" s="44"/>
      <c r="AO10" s="44"/>
      <c r="AP10" s="44">
        <v>1795568.4937742355</v>
      </c>
      <c r="AQ10" s="44">
        <v>6973112.2336477358</v>
      </c>
      <c r="AR10" s="44">
        <v>5372448</v>
      </c>
      <c r="AS10" s="44">
        <v>18908967</v>
      </c>
      <c r="AT10" s="44">
        <v>1331699</v>
      </c>
      <c r="AU10" s="44">
        <v>6019541</v>
      </c>
      <c r="AV10" s="44">
        <v>1200</v>
      </c>
      <c r="AW10" s="44">
        <v>4881</v>
      </c>
      <c r="AX10" s="44">
        <v>314324</v>
      </c>
      <c r="AY10" s="44">
        <v>1038377</v>
      </c>
      <c r="AZ10" s="44"/>
      <c r="BA10" s="44"/>
      <c r="BB10" s="44"/>
      <c r="BC10" s="44"/>
      <c r="BD10" s="51">
        <v>88587</v>
      </c>
      <c r="BE10" s="51">
        <v>308193</v>
      </c>
      <c r="BF10" s="44">
        <v>402895</v>
      </c>
      <c r="BG10" s="44">
        <v>1536182</v>
      </c>
      <c r="BH10" s="44">
        <v>40533</v>
      </c>
      <c r="BI10" s="44">
        <v>190108</v>
      </c>
      <c r="BJ10" s="44"/>
      <c r="BK10" s="44"/>
      <c r="BL10" s="44">
        <v>236821</v>
      </c>
      <c r="BM10" s="44">
        <v>1064418</v>
      </c>
      <c r="BN10" s="44">
        <v>3293182</v>
      </c>
      <c r="BO10" s="44">
        <v>7682020</v>
      </c>
      <c r="BP10" s="44">
        <v>160927</v>
      </c>
      <c r="BQ10" s="44">
        <v>582423</v>
      </c>
      <c r="BR10" s="44">
        <f t="shared" si="0"/>
        <v>14932489.493774235</v>
      </c>
      <c r="BS10" s="44">
        <f t="shared" si="0"/>
        <v>51699625.233647734</v>
      </c>
    </row>
    <row r="11" spans="1:71" x14ac:dyDescent="0.25">
      <c r="AH11" s="106"/>
    </row>
    <row r="12" spans="1:71" s="8" customFormat="1" x14ac:dyDescent="0.25">
      <c r="A12" s="7" t="s">
        <v>167</v>
      </c>
    </row>
    <row r="13" spans="1:71" s="15" customFormat="1" x14ac:dyDescent="0.25">
      <c r="A13" s="23" t="s">
        <v>0</v>
      </c>
      <c r="B13" s="200" t="s">
        <v>1</v>
      </c>
      <c r="C13" s="200"/>
      <c r="D13" s="200" t="s">
        <v>2</v>
      </c>
      <c r="E13" s="200"/>
      <c r="F13" s="200" t="s">
        <v>3</v>
      </c>
      <c r="G13" s="200"/>
      <c r="H13" s="200" t="s">
        <v>4</v>
      </c>
      <c r="I13" s="200"/>
      <c r="J13" s="200" t="s">
        <v>5</v>
      </c>
      <c r="K13" s="200"/>
      <c r="L13" s="200" t="s">
        <v>6</v>
      </c>
      <c r="M13" s="200"/>
      <c r="N13" s="200" t="s">
        <v>7</v>
      </c>
      <c r="O13" s="200"/>
      <c r="P13" s="200" t="s">
        <v>8</v>
      </c>
      <c r="Q13" s="200"/>
      <c r="R13" s="200" t="s">
        <v>9</v>
      </c>
      <c r="S13" s="200"/>
      <c r="T13" s="200" t="s">
        <v>10</v>
      </c>
      <c r="U13" s="200"/>
      <c r="V13" s="200" t="s">
        <v>11</v>
      </c>
      <c r="W13" s="200"/>
      <c r="X13" s="200" t="s">
        <v>12</v>
      </c>
      <c r="Y13" s="200"/>
      <c r="Z13" s="200" t="s">
        <v>13</v>
      </c>
      <c r="AA13" s="200"/>
      <c r="AB13" s="200" t="s">
        <v>14</v>
      </c>
      <c r="AC13" s="200"/>
      <c r="AD13" s="200" t="s">
        <v>15</v>
      </c>
      <c r="AE13" s="200"/>
      <c r="AF13" s="200" t="s">
        <v>16</v>
      </c>
      <c r="AG13" s="200"/>
      <c r="AH13" s="200" t="s">
        <v>17</v>
      </c>
      <c r="AI13" s="200"/>
      <c r="AJ13" s="200" t="s">
        <v>18</v>
      </c>
      <c r="AK13" s="200"/>
      <c r="AL13" s="200" t="s">
        <v>19</v>
      </c>
      <c r="AM13" s="200"/>
      <c r="AN13" s="200" t="s">
        <v>20</v>
      </c>
      <c r="AO13" s="200"/>
      <c r="AP13" s="200" t="s">
        <v>21</v>
      </c>
      <c r="AQ13" s="200"/>
      <c r="AR13" s="200" t="s">
        <v>147</v>
      </c>
      <c r="AS13" s="200"/>
      <c r="AT13" s="200" t="s">
        <v>148</v>
      </c>
      <c r="AU13" s="200"/>
      <c r="AV13" s="200" t="s">
        <v>22</v>
      </c>
      <c r="AW13" s="200"/>
      <c r="AX13" s="200" t="s">
        <v>23</v>
      </c>
      <c r="AY13" s="200"/>
      <c r="AZ13" s="200" t="s">
        <v>332</v>
      </c>
      <c r="BA13" s="200"/>
      <c r="BB13" s="200" t="s">
        <v>24</v>
      </c>
      <c r="BC13" s="200"/>
      <c r="BD13" s="200" t="s">
        <v>25</v>
      </c>
      <c r="BE13" s="200"/>
      <c r="BF13" s="200" t="s">
        <v>26</v>
      </c>
      <c r="BG13" s="200"/>
      <c r="BH13" s="200" t="s">
        <v>27</v>
      </c>
      <c r="BI13" s="200"/>
      <c r="BJ13" s="200" t="s">
        <v>28</v>
      </c>
      <c r="BK13" s="200"/>
      <c r="BL13" s="200" t="s">
        <v>29</v>
      </c>
      <c r="BM13" s="200"/>
      <c r="BN13" s="200" t="s">
        <v>30</v>
      </c>
      <c r="BO13" s="200"/>
      <c r="BP13" s="200" t="s">
        <v>31</v>
      </c>
      <c r="BQ13" s="200"/>
      <c r="BR13" s="200" t="s">
        <v>250</v>
      </c>
      <c r="BS13" s="200"/>
    </row>
    <row r="14" spans="1:71" s="61" customFormat="1" ht="44.25" customHeight="1" x14ac:dyDescent="0.25">
      <c r="A14" s="60"/>
      <c r="B14" s="60" t="s">
        <v>321</v>
      </c>
      <c r="C14" s="60" t="s">
        <v>322</v>
      </c>
      <c r="D14" s="60" t="s">
        <v>321</v>
      </c>
      <c r="E14" s="60" t="s">
        <v>322</v>
      </c>
      <c r="F14" s="60" t="s">
        <v>321</v>
      </c>
      <c r="G14" s="60" t="s">
        <v>322</v>
      </c>
      <c r="H14" s="60" t="s">
        <v>321</v>
      </c>
      <c r="I14" s="60" t="s">
        <v>322</v>
      </c>
      <c r="J14" s="60" t="s">
        <v>321</v>
      </c>
      <c r="K14" s="60" t="s">
        <v>322</v>
      </c>
      <c r="L14" s="60" t="s">
        <v>321</v>
      </c>
      <c r="M14" s="60" t="s">
        <v>322</v>
      </c>
      <c r="N14" s="60" t="s">
        <v>321</v>
      </c>
      <c r="O14" s="60" t="s">
        <v>322</v>
      </c>
      <c r="P14" s="60" t="s">
        <v>321</v>
      </c>
      <c r="Q14" s="60" t="s">
        <v>322</v>
      </c>
      <c r="R14" s="60" t="s">
        <v>321</v>
      </c>
      <c r="S14" s="60" t="s">
        <v>322</v>
      </c>
      <c r="T14" s="60" t="s">
        <v>321</v>
      </c>
      <c r="U14" s="60" t="s">
        <v>322</v>
      </c>
      <c r="V14" s="60" t="s">
        <v>321</v>
      </c>
      <c r="W14" s="60" t="s">
        <v>322</v>
      </c>
      <c r="X14" s="60" t="s">
        <v>321</v>
      </c>
      <c r="Y14" s="60" t="s">
        <v>322</v>
      </c>
      <c r="Z14" s="60" t="s">
        <v>321</v>
      </c>
      <c r="AA14" s="60" t="s">
        <v>322</v>
      </c>
      <c r="AB14" s="60" t="s">
        <v>321</v>
      </c>
      <c r="AC14" s="60" t="s">
        <v>322</v>
      </c>
      <c r="AD14" s="60" t="s">
        <v>321</v>
      </c>
      <c r="AE14" s="60" t="s">
        <v>322</v>
      </c>
      <c r="AF14" s="60" t="s">
        <v>321</v>
      </c>
      <c r="AG14" s="60" t="s">
        <v>322</v>
      </c>
      <c r="AH14" s="60" t="s">
        <v>321</v>
      </c>
      <c r="AI14" s="60" t="s">
        <v>322</v>
      </c>
      <c r="AJ14" s="60" t="s">
        <v>321</v>
      </c>
      <c r="AK14" s="60" t="s">
        <v>322</v>
      </c>
      <c r="AL14" s="60" t="s">
        <v>321</v>
      </c>
      <c r="AM14" s="60" t="s">
        <v>322</v>
      </c>
      <c r="AN14" s="60" t="s">
        <v>321</v>
      </c>
      <c r="AO14" s="60" t="s">
        <v>322</v>
      </c>
      <c r="AP14" s="60" t="s">
        <v>321</v>
      </c>
      <c r="AQ14" s="60" t="s">
        <v>322</v>
      </c>
      <c r="AR14" s="60" t="s">
        <v>321</v>
      </c>
      <c r="AS14" s="60" t="s">
        <v>322</v>
      </c>
      <c r="AT14" s="60" t="s">
        <v>321</v>
      </c>
      <c r="AU14" s="60" t="s">
        <v>322</v>
      </c>
      <c r="AV14" s="60" t="s">
        <v>321</v>
      </c>
      <c r="AW14" s="60" t="s">
        <v>322</v>
      </c>
      <c r="AX14" s="60" t="s">
        <v>321</v>
      </c>
      <c r="AY14" s="60" t="s">
        <v>322</v>
      </c>
      <c r="AZ14" s="60" t="s">
        <v>321</v>
      </c>
      <c r="BA14" s="60" t="s">
        <v>322</v>
      </c>
      <c r="BB14" s="60" t="s">
        <v>321</v>
      </c>
      <c r="BC14" s="60" t="s">
        <v>322</v>
      </c>
      <c r="BD14" s="60" t="s">
        <v>321</v>
      </c>
      <c r="BE14" s="60" t="s">
        <v>322</v>
      </c>
      <c r="BF14" s="60" t="s">
        <v>321</v>
      </c>
      <c r="BG14" s="60" t="s">
        <v>322</v>
      </c>
      <c r="BH14" s="60" t="s">
        <v>321</v>
      </c>
      <c r="BI14" s="60" t="s">
        <v>322</v>
      </c>
      <c r="BJ14" s="60" t="s">
        <v>321</v>
      </c>
      <c r="BK14" s="60" t="s">
        <v>322</v>
      </c>
      <c r="BL14" s="60" t="s">
        <v>321</v>
      </c>
      <c r="BM14" s="60" t="s">
        <v>322</v>
      </c>
      <c r="BN14" s="60" t="s">
        <v>321</v>
      </c>
      <c r="BO14" s="60" t="s">
        <v>322</v>
      </c>
      <c r="BP14" s="60" t="s">
        <v>321</v>
      </c>
      <c r="BQ14" s="60" t="s">
        <v>322</v>
      </c>
      <c r="BR14" s="60" t="s">
        <v>321</v>
      </c>
      <c r="BS14" s="60" t="s">
        <v>322</v>
      </c>
    </row>
    <row r="15" spans="1:71" x14ac:dyDescent="0.25">
      <c r="A15" s="44" t="s">
        <v>338</v>
      </c>
      <c r="B15" s="44"/>
      <c r="C15" s="44"/>
      <c r="D15" s="44"/>
      <c r="E15" s="44"/>
      <c r="F15" s="44"/>
      <c r="G15" s="44"/>
      <c r="H15" s="44"/>
      <c r="I15" s="44"/>
      <c r="J15" s="135">
        <v>458614</v>
      </c>
      <c r="K15" s="44">
        <v>1609748</v>
      </c>
      <c r="L15" s="44">
        <v>180199</v>
      </c>
      <c r="M15" s="44">
        <v>520766</v>
      </c>
      <c r="N15" s="44">
        <v>238591</v>
      </c>
      <c r="O15" s="44">
        <v>749944</v>
      </c>
      <c r="P15" s="44"/>
      <c r="Q15" s="44"/>
      <c r="R15" s="44"/>
      <c r="S15" s="44"/>
      <c r="T15" s="44">
        <v>925</v>
      </c>
      <c r="U15" s="44">
        <v>2775</v>
      </c>
      <c r="V15" s="44"/>
      <c r="W15" s="44"/>
      <c r="X15" s="44">
        <v>165852</v>
      </c>
      <c r="Y15" s="44">
        <v>706618</v>
      </c>
      <c r="Z15" s="44">
        <v>9842</v>
      </c>
      <c r="AA15" s="44">
        <v>10070</v>
      </c>
      <c r="AB15" s="44">
        <f>25927+298357</f>
        <v>324284</v>
      </c>
      <c r="AC15" s="44">
        <f>377703+1423722</f>
        <v>1801425</v>
      </c>
      <c r="AD15" s="44">
        <v>823106</v>
      </c>
      <c r="AE15" s="44">
        <v>4436833</v>
      </c>
      <c r="AF15" s="44">
        <v>379751</v>
      </c>
      <c r="AG15" s="44">
        <v>1601596</v>
      </c>
      <c r="AH15" s="44"/>
      <c r="AI15" s="44"/>
      <c r="AJ15" s="44">
        <v>58875</v>
      </c>
      <c r="AK15" s="44">
        <v>243361</v>
      </c>
      <c r="AL15" s="44">
        <v>100698</v>
      </c>
      <c r="AM15" s="44">
        <v>216690</v>
      </c>
      <c r="AN15" s="44"/>
      <c r="AO15" s="44"/>
      <c r="AP15" s="44">
        <v>509726.52105056797</v>
      </c>
      <c r="AQ15" s="44">
        <v>2167536.1531521678</v>
      </c>
      <c r="AR15" s="44">
        <v>2410094</v>
      </c>
      <c r="AS15" s="44">
        <v>7616647</v>
      </c>
      <c r="AT15" s="44">
        <v>1061995</v>
      </c>
      <c r="AU15" s="44">
        <v>3492768</v>
      </c>
      <c r="AV15" s="44">
        <v>251</v>
      </c>
      <c r="AW15" s="44">
        <v>834</v>
      </c>
      <c r="AX15" s="44">
        <v>91381</v>
      </c>
      <c r="AY15" s="44">
        <v>717517</v>
      </c>
      <c r="AZ15" s="44"/>
      <c r="BA15" s="44"/>
      <c r="BB15" s="44"/>
      <c r="BC15" s="44"/>
      <c r="BD15" s="116">
        <v>87531</v>
      </c>
      <c r="BE15" s="116">
        <v>373890</v>
      </c>
      <c r="BF15" s="44">
        <v>45841</v>
      </c>
      <c r="BG15" s="44">
        <v>200539</v>
      </c>
      <c r="BH15" s="44">
        <v>3615</v>
      </c>
      <c r="BI15" s="44">
        <v>18785</v>
      </c>
      <c r="BJ15" s="44"/>
      <c r="BK15" s="44"/>
      <c r="BL15" s="44">
        <v>790775</v>
      </c>
      <c r="BM15" s="44">
        <v>3273239</v>
      </c>
      <c r="BN15" s="44">
        <v>637746</v>
      </c>
      <c r="BO15" s="44">
        <v>3245166</v>
      </c>
      <c r="BP15" s="44">
        <v>37894</v>
      </c>
      <c r="BQ15" s="44">
        <v>174842</v>
      </c>
      <c r="BR15" s="44">
        <f t="shared" ref="BR15:BS19" si="3">B15+D15+F15+H15+J15+L15+N15+P15+R15+T15+V15+X15+Z15+AB15+AD15+AF15+AH15+AJ15+AL15+AN15+AP15+AR15+AT15+AV15+AX15+BB15+BD15+BF15+BH15+BJ15+BL15+BN15+BP15</f>
        <v>8417586.5210505687</v>
      </c>
      <c r="BS15" s="44">
        <f t="shared" si="3"/>
        <v>33181589.153152168</v>
      </c>
    </row>
    <row r="16" spans="1:71" x14ac:dyDescent="0.25">
      <c r="A16" s="44" t="s">
        <v>339</v>
      </c>
      <c r="B16" s="44"/>
      <c r="C16" s="44"/>
      <c r="D16" s="44"/>
      <c r="E16" s="44"/>
      <c r="F16" s="44"/>
      <c r="G16" s="44"/>
      <c r="H16" s="44"/>
      <c r="I16" s="44"/>
      <c r="J16" s="135"/>
      <c r="K16" s="44"/>
      <c r="L16" s="44">
        <v>6764</v>
      </c>
      <c r="M16" s="44">
        <v>25801</v>
      </c>
      <c r="O16" s="44"/>
      <c r="P16" s="44"/>
      <c r="Q16" s="44"/>
      <c r="R16" s="44"/>
      <c r="S16" s="44"/>
      <c r="T16" s="44"/>
      <c r="U16" s="44"/>
      <c r="V16" s="44"/>
      <c r="W16" s="44"/>
      <c r="X16" s="44">
        <v>3340</v>
      </c>
      <c r="Y16" s="44">
        <v>9400</v>
      </c>
      <c r="Z16" s="44">
        <v>-710</v>
      </c>
      <c r="AA16" s="44">
        <v>10285</v>
      </c>
      <c r="AB16" s="44">
        <v>23782</v>
      </c>
      <c r="AC16" s="44">
        <v>125023</v>
      </c>
      <c r="AD16" s="44">
        <v>33944</v>
      </c>
      <c r="AE16" s="44">
        <v>168612</v>
      </c>
      <c r="AF16" s="44">
        <v>2614</v>
      </c>
      <c r="AG16" s="44">
        <v>30394</v>
      </c>
      <c r="AH16" s="44"/>
      <c r="AI16" s="44"/>
      <c r="AJ16" s="44">
        <v>140</v>
      </c>
      <c r="AK16" s="44">
        <v>140</v>
      </c>
      <c r="AL16" s="44">
        <v>3988</v>
      </c>
      <c r="AM16" s="44">
        <v>48894</v>
      </c>
      <c r="AN16" s="44"/>
      <c r="AO16" s="44"/>
      <c r="AP16" s="44">
        <v>141270.71789</v>
      </c>
      <c r="AQ16" s="44">
        <v>178533.73800000001</v>
      </c>
      <c r="AR16" s="44">
        <v>336287</v>
      </c>
      <c r="AS16" s="44">
        <v>491455</v>
      </c>
      <c r="AT16" s="44">
        <v>3682</v>
      </c>
      <c r="AU16" s="44">
        <v>158957</v>
      </c>
      <c r="AV16" s="44"/>
      <c r="AW16" s="44"/>
      <c r="AX16" s="44"/>
      <c r="AY16" s="44">
        <v>12175</v>
      </c>
      <c r="AZ16" s="44"/>
      <c r="BA16" s="44"/>
      <c r="BB16" s="44"/>
      <c r="BC16" s="44"/>
      <c r="BD16" s="116">
        <v>304</v>
      </c>
      <c r="BE16" s="116">
        <v>6578</v>
      </c>
      <c r="BF16" s="44"/>
      <c r="BG16" s="44"/>
      <c r="BH16" s="44"/>
      <c r="BI16" s="44"/>
      <c r="BJ16" s="44"/>
      <c r="BK16" s="44"/>
      <c r="BL16" s="44">
        <v>48859</v>
      </c>
      <c r="BM16" s="44">
        <v>109911</v>
      </c>
      <c r="BN16" s="44">
        <v>10166</v>
      </c>
      <c r="BO16" s="44">
        <v>105614</v>
      </c>
      <c r="BQ16" s="44"/>
      <c r="BR16" s="44">
        <f t="shared" si="3"/>
        <v>614430.71788999997</v>
      </c>
      <c r="BS16" s="44">
        <f t="shared" si="3"/>
        <v>1481772.7379999999</v>
      </c>
    </row>
    <row r="17" spans="1:71" x14ac:dyDescent="0.25">
      <c r="A17" s="44" t="s">
        <v>340</v>
      </c>
      <c r="B17" s="44"/>
      <c r="C17" s="44"/>
      <c r="D17" s="44"/>
      <c r="E17" s="44"/>
      <c r="F17" s="44"/>
      <c r="G17" s="44"/>
      <c r="H17" s="44"/>
      <c r="I17" s="44"/>
      <c r="J17" s="135">
        <v>181316</v>
      </c>
      <c r="K17" s="44">
        <v>529343</v>
      </c>
      <c r="L17" s="44">
        <v>77470</v>
      </c>
      <c r="M17" s="44">
        <v>204467</v>
      </c>
      <c r="N17" s="44">
        <v>194389</v>
      </c>
      <c r="O17" s="44">
        <v>559565</v>
      </c>
      <c r="P17" s="44"/>
      <c r="Q17" s="44"/>
      <c r="R17" s="44"/>
      <c r="S17" s="44"/>
      <c r="T17" s="44">
        <v>416</v>
      </c>
      <c r="U17" s="44">
        <v>2790</v>
      </c>
      <c r="V17" s="44"/>
      <c r="W17" s="44"/>
      <c r="X17" s="44">
        <v>63394</v>
      </c>
      <c r="Y17" s="44">
        <v>213730</v>
      </c>
      <c r="Z17" s="44">
        <v>9215</v>
      </c>
      <c r="AA17" s="44">
        <v>20213</v>
      </c>
      <c r="AB17" s="44">
        <f>-184299-25527</f>
        <v>-209826</v>
      </c>
      <c r="AC17" s="44">
        <f>-895928-376308</f>
        <v>-1272236</v>
      </c>
      <c r="AD17" s="44">
        <v>434657</v>
      </c>
      <c r="AE17" s="44">
        <v>2149777</v>
      </c>
      <c r="AF17" s="44">
        <v>212736</v>
      </c>
      <c r="AG17" s="44">
        <v>944085</v>
      </c>
      <c r="AH17" s="44"/>
      <c r="AI17" s="44"/>
      <c r="AJ17" s="44">
        <v>4323</v>
      </c>
      <c r="AK17" s="44">
        <v>51092</v>
      </c>
      <c r="AL17" s="44">
        <v>-102086</v>
      </c>
      <c r="AM17" s="44">
        <v>-253280</v>
      </c>
      <c r="AN17" s="44"/>
      <c r="AO17" s="44"/>
      <c r="AP17" s="44">
        <v>277518.27646759991</v>
      </c>
      <c r="AQ17" s="44">
        <v>776139.86016099993</v>
      </c>
      <c r="AR17" s="44">
        <v>1425565</v>
      </c>
      <c r="AS17" s="44">
        <v>3667723</v>
      </c>
      <c r="AT17" s="44">
        <v>662893</v>
      </c>
      <c r="AU17" s="44">
        <v>1673649</v>
      </c>
      <c r="AV17" s="44">
        <v>146</v>
      </c>
      <c r="AW17" s="44">
        <v>268</v>
      </c>
      <c r="AX17" s="44">
        <v>86840</v>
      </c>
      <c r="AY17" s="44">
        <v>670511</v>
      </c>
      <c r="AZ17" s="44"/>
      <c r="BA17" s="44"/>
      <c r="BB17" s="44"/>
      <c r="BC17" s="44"/>
      <c r="BD17" s="116">
        <v>-41849</v>
      </c>
      <c r="BE17" s="116">
        <v>-184999</v>
      </c>
      <c r="BF17" s="44">
        <v>15678</v>
      </c>
      <c r="BG17" s="44">
        <v>72329</v>
      </c>
      <c r="BH17" s="44">
        <v>747</v>
      </c>
      <c r="BI17" s="44">
        <v>7130</v>
      </c>
      <c r="BJ17" s="44"/>
      <c r="BK17" s="44"/>
      <c r="BL17" s="44">
        <v>123165</v>
      </c>
      <c r="BM17" s="44">
        <v>411373</v>
      </c>
      <c r="BN17" s="44">
        <v>168449</v>
      </c>
      <c r="BO17" s="44">
        <v>1299844</v>
      </c>
      <c r="BP17" s="44">
        <f>19546+8223</f>
        <v>27769</v>
      </c>
      <c r="BQ17" s="44">
        <f>85197+40050</f>
        <v>125247</v>
      </c>
      <c r="BR17" s="44">
        <f t="shared" si="3"/>
        <v>3612925.2764675999</v>
      </c>
      <c r="BS17" s="44">
        <f t="shared" si="3"/>
        <v>11668760.860160999</v>
      </c>
    </row>
    <row r="18" spans="1:71" x14ac:dyDescent="0.25">
      <c r="A18" s="44" t="s">
        <v>188</v>
      </c>
      <c r="B18" s="44"/>
      <c r="C18" s="44"/>
      <c r="D18" s="44"/>
      <c r="E18" s="44"/>
      <c r="F18" s="44"/>
      <c r="G18" s="44"/>
      <c r="H18" s="44"/>
      <c r="I18" s="44"/>
      <c r="J18" s="44">
        <v>277298</v>
      </c>
      <c r="K18" s="44">
        <v>1080405</v>
      </c>
      <c r="L18" s="44">
        <v>109493</v>
      </c>
      <c r="M18" s="44">
        <v>342100</v>
      </c>
      <c r="N18" s="44">
        <v>44202</v>
      </c>
      <c r="O18" s="44">
        <v>190379</v>
      </c>
      <c r="P18" s="44"/>
      <c r="Q18" s="44"/>
      <c r="R18" s="44"/>
      <c r="S18" s="44"/>
      <c r="T18" s="44"/>
      <c r="U18" s="44"/>
      <c r="V18" s="44"/>
      <c r="W18" s="44"/>
      <c r="X18" s="44">
        <v>105798</v>
      </c>
      <c r="Y18" s="44">
        <v>502288</v>
      </c>
      <c r="Z18" s="44">
        <v>-83</v>
      </c>
      <c r="AA18" s="44">
        <v>142</v>
      </c>
      <c r="AB18" s="44">
        <f>400+137841</f>
        <v>138241</v>
      </c>
      <c r="AC18" s="44">
        <f>1396+652817</f>
        <v>654213</v>
      </c>
      <c r="AD18" s="44">
        <v>422393</v>
      </c>
      <c r="AE18" s="44">
        <v>2455668</v>
      </c>
      <c r="AF18" s="44">
        <v>169629</v>
      </c>
      <c r="AG18" s="44">
        <v>687905</v>
      </c>
      <c r="AH18" s="44"/>
      <c r="AI18" s="44"/>
      <c r="AJ18" s="44">
        <v>54692</v>
      </c>
      <c r="AK18" s="44">
        <v>192409</v>
      </c>
      <c r="AL18" s="44">
        <v>2600</v>
      </c>
      <c r="AM18" s="44">
        <v>12304</v>
      </c>
      <c r="AN18" s="44"/>
      <c r="AO18" s="44"/>
      <c r="AP18" s="44">
        <v>373478.96247296804</v>
      </c>
      <c r="AQ18" s="44">
        <v>1569930.0309911678</v>
      </c>
      <c r="AR18" s="44">
        <v>1320816</v>
      </c>
      <c r="AS18" s="44">
        <v>4440379</v>
      </c>
      <c r="AT18" s="44">
        <v>402784</v>
      </c>
      <c r="AU18" s="44">
        <v>1978076</v>
      </c>
      <c r="AV18" s="44">
        <v>105</v>
      </c>
      <c r="AW18" s="44">
        <v>565</v>
      </c>
      <c r="AX18" s="44">
        <v>4541</v>
      </c>
      <c r="AY18" s="44">
        <v>59181</v>
      </c>
      <c r="AZ18" s="44"/>
      <c r="BA18" s="44"/>
      <c r="BB18" s="44"/>
      <c r="BC18" s="44"/>
      <c r="BD18" s="51">
        <v>45986</v>
      </c>
      <c r="BE18" s="51">
        <v>195469</v>
      </c>
      <c r="BF18" s="44">
        <v>30163</v>
      </c>
      <c r="BG18" s="44">
        <v>128210</v>
      </c>
      <c r="BH18" s="44">
        <v>2868</v>
      </c>
      <c r="BI18" s="44">
        <v>11655</v>
      </c>
      <c r="BJ18" s="44"/>
      <c r="BK18" s="44"/>
      <c r="BL18" s="44">
        <v>716469</v>
      </c>
      <c r="BM18" s="44">
        <v>2971777</v>
      </c>
      <c r="BN18" s="44">
        <v>479463</v>
      </c>
      <c r="BO18" s="44">
        <v>2050936</v>
      </c>
      <c r="BP18" s="44">
        <v>10125</v>
      </c>
      <c r="BQ18" s="44">
        <v>49595</v>
      </c>
      <c r="BR18" s="44">
        <f t="shared" si="3"/>
        <v>4711061.9624729678</v>
      </c>
      <c r="BS18" s="44">
        <f t="shared" si="3"/>
        <v>19573586.030991167</v>
      </c>
    </row>
    <row r="19" spans="1:71" x14ac:dyDescent="0.25">
      <c r="A19" s="44" t="s">
        <v>341</v>
      </c>
      <c r="B19" s="44"/>
      <c r="C19" s="44"/>
      <c r="D19" s="44"/>
      <c r="E19" s="44"/>
      <c r="F19" s="44"/>
      <c r="G19" s="44"/>
      <c r="H19" s="44"/>
      <c r="I19" s="44"/>
      <c r="J19" s="44">
        <v>248580</v>
      </c>
      <c r="K19" s="44">
        <v>1038593</v>
      </c>
      <c r="L19" s="44">
        <v>94473</v>
      </c>
      <c r="M19" s="44">
        <v>266531</v>
      </c>
      <c r="N19" s="44">
        <v>55539</v>
      </c>
      <c r="O19" s="44">
        <v>184285</v>
      </c>
      <c r="P19" s="44"/>
      <c r="Q19" s="44"/>
      <c r="R19" s="44"/>
      <c r="S19" s="44"/>
      <c r="T19" s="44">
        <v>507</v>
      </c>
      <c r="U19" s="44">
        <v>-23</v>
      </c>
      <c r="V19" s="44"/>
      <c r="W19" s="44"/>
      <c r="X19" s="44">
        <v>124724</v>
      </c>
      <c r="Y19" s="44">
        <v>482705</v>
      </c>
      <c r="Z19" s="44">
        <v>35</v>
      </c>
      <c r="AA19" s="44">
        <v>46</v>
      </c>
      <c r="AB19" s="44">
        <f>225+172927</f>
        <v>173152</v>
      </c>
      <c r="AC19" s="44">
        <f>1609+601643</f>
        <v>603252</v>
      </c>
      <c r="AD19" s="44">
        <v>577933</v>
      </c>
      <c r="AE19" s="44">
        <v>2367293</v>
      </c>
      <c r="AF19" s="44">
        <v>212201</v>
      </c>
      <c r="AG19" s="44">
        <v>683071</v>
      </c>
      <c r="AH19" s="44"/>
      <c r="AI19" s="44"/>
      <c r="AJ19" s="44">
        <v>54678</v>
      </c>
      <c r="AK19" s="44">
        <v>163256</v>
      </c>
      <c r="AL19" s="44">
        <v>1449</v>
      </c>
      <c r="AM19" s="44">
        <v>11395</v>
      </c>
      <c r="AN19" s="44"/>
      <c r="AO19" s="44"/>
      <c r="AP19" s="44">
        <v>481256.956382968</v>
      </c>
      <c r="AQ19" s="44">
        <v>1438918.9589911678</v>
      </c>
      <c r="AR19" s="44">
        <v>1248686</v>
      </c>
      <c r="AS19" s="44">
        <v>4193117</v>
      </c>
      <c r="AT19" s="44">
        <v>457620</v>
      </c>
      <c r="AU19" s="44">
        <v>2083963</v>
      </c>
      <c r="AV19" s="44">
        <v>108</v>
      </c>
      <c r="AW19" s="44">
        <v>559</v>
      </c>
      <c r="AX19" s="44">
        <v>16056</v>
      </c>
      <c r="AY19" s="44">
        <v>57903</v>
      </c>
      <c r="AZ19" s="44"/>
      <c r="BA19" s="44"/>
      <c r="BB19" s="44"/>
      <c r="BC19" s="44"/>
      <c r="BD19" s="51">
        <v>43114</v>
      </c>
      <c r="BE19" s="51">
        <v>183509</v>
      </c>
      <c r="BF19" s="44">
        <v>35165</v>
      </c>
      <c r="BG19" s="44">
        <v>120600</v>
      </c>
      <c r="BH19" s="44">
        <v>2727</v>
      </c>
      <c r="BI19" s="44">
        <v>13009</v>
      </c>
      <c r="BJ19" s="44"/>
      <c r="BK19" s="44"/>
      <c r="BL19" s="44">
        <v>807182</v>
      </c>
      <c r="BM19" s="44">
        <v>2803765</v>
      </c>
      <c r="BN19" s="44">
        <v>770015</v>
      </c>
      <c r="BO19" s="44">
        <v>2225124</v>
      </c>
      <c r="BP19" s="44">
        <v>15041</v>
      </c>
      <c r="BQ19" s="44">
        <v>55530</v>
      </c>
      <c r="BR19" s="44">
        <f t="shared" si="3"/>
        <v>5420241.9563829675</v>
      </c>
      <c r="BS19" s="44">
        <f t="shared" si="3"/>
        <v>18976401.95899117</v>
      </c>
    </row>
    <row r="20" spans="1:71" s="5" customFormat="1" x14ac:dyDescent="0.25">
      <c r="A20" s="9"/>
    </row>
    <row r="21" spans="1:71" s="8" customFormat="1" x14ac:dyDescent="0.25">
      <c r="A21" s="7" t="s">
        <v>168</v>
      </c>
    </row>
    <row r="22" spans="1:71" s="15" customFormat="1" x14ac:dyDescent="0.25">
      <c r="A22" s="23" t="s">
        <v>0</v>
      </c>
      <c r="B22" s="200" t="s">
        <v>1</v>
      </c>
      <c r="C22" s="200"/>
      <c r="D22" s="200" t="s">
        <v>2</v>
      </c>
      <c r="E22" s="200"/>
      <c r="F22" s="200" t="s">
        <v>3</v>
      </c>
      <c r="G22" s="200"/>
      <c r="H22" s="200" t="s">
        <v>4</v>
      </c>
      <c r="I22" s="200"/>
      <c r="J22" s="200" t="s">
        <v>5</v>
      </c>
      <c r="K22" s="200"/>
      <c r="L22" s="200" t="s">
        <v>6</v>
      </c>
      <c r="M22" s="200"/>
      <c r="N22" s="200" t="s">
        <v>7</v>
      </c>
      <c r="O22" s="200"/>
      <c r="P22" s="200" t="s">
        <v>8</v>
      </c>
      <c r="Q22" s="200"/>
      <c r="R22" s="200" t="s">
        <v>9</v>
      </c>
      <c r="S22" s="200"/>
      <c r="T22" s="200" t="s">
        <v>10</v>
      </c>
      <c r="U22" s="200"/>
      <c r="V22" s="200" t="s">
        <v>11</v>
      </c>
      <c r="W22" s="200"/>
      <c r="X22" s="200" t="s">
        <v>12</v>
      </c>
      <c r="Y22" s="200"/>
      <c r="Z22" s="200" t="s">
        <v>13</v>
      </c>
      <c r="AA22" s="200"/>
      <c r="AB22" s="200" t="s">
        <v>14</v>
      </c>
      <c r="AC22" s="200"/>
      <c r="AD22" s="200" t="s">
        <v>15</v>
      </c>
      <c r="AE22" s="200"/>
      <c r="AF22" s="200" t="s">
        <v>16</v>
      </c>
      <c r="AG22" s="200"/>
      <c r="AH22" s="200" t="s">
        <v>17</v>
      </c>
      <c r="AI22" s="200"/>
      <c r="AJ22" s="200" t="s">
        <v>18</v>
      </c>
      <c r="AK22" s="200"/>
      <c r="AL22" s="200" t="s">
        <v>19</v>
      </c>
      <c r="AM22" s="200"/>
      <c r="AN22" s="200" t="s">
        <v>20</v>
      </c>
      <c r="AO22" s="200"/>
      <c r="AP22" s="200" t="s">
        <v>21</v>
      </c>
      <c r="AQ22" s="200"/>
      <c r="AR22" s="200" t="s">
        <v>147</v>
      </c>
      <c r="AS22" s="200"/>
      <c r="AT22" s="200" t="s">
        <v>148</v>
      </c>
      <c r="AU22" s="200"/>
      <c r="AV22" s="200" t="s">
        <v>22</v>
      </c>
      <c r="AW22" s="200"/>
      <c r="AX22" s="200" t="s">
        <v>23</v>
      </c>
      <c r="AY22" s="200"/>
      <c r="AZ22" s="200" t="s">
        <v>332</v>
      </c>
      <c r="BA22" s="200"/>
      <c r="BB22" s="200" t="s">
        <v>24</v>
      </c>
      <c r="BC22" s="200"/>
      <c r="BD22" s="200" t="s">
        <v>25</v>
      </c>
      <c r="BE22" s="200"/>
      <c r="BF22" s="200" t="s">
        <v>26</v>
      </c>
      <c r="BG22" s="200"/>
      <c r="BH22" s="200" t="s">
        <v>27</v>
      </c>
      <c r="BI22" s="200"/>
      <c r="BJ22" s="200" t="s">
        <v>28</v>
      </c>
      <c r="BK22" s="200"/>
      <c r="BL22" s="200" t="s">
        <v>29</v>
      </c>
      <c r="BM22" s="200"/>
      <c r="BN22" s="200" t="s">
        <v>30</v>
      </c>
      <c r="BO22" s="200"/>
      <c r="BP22" s="200" t="s">
        <v>31</v>
      </c>
      <c r="BQ22" s="200"/>
      <c r="BR22" s="200" t="s">
        <v>250</v>
      </c>
      <c r="BS22" s="200"/>
    </row>
    <row r="23" spans="1:71" s="42" customFormat="1" ht="44.25" customHeight="1" x14ac:dyDescent="0.25">
      <c r="A23" s="43"/>
      <c r="B23" s="43" t="s">
        <v>321</v>
      </c>
      <c r="C23" s="43" t="s">
        <v>322</v>
      </c>
      <c r="D23" s="43" t="s">
        <v>321</v>
      </c>
      <c r="E23" s="43" t="s">
        <v>322</v>
      </c>
      <c r="F23" s="43" t="s">
        <v>321</v>
      </c>
      <c r="G23" s="43" t="s">
        <v>322</v>
      </c>
      <c r="H23" s="43" t="s">
        <v>321</v>
      </c>
      <c r="I23" s="43" t="s">
        <v>322</v>
      </c>
      <c r="J23" s="43" t="s">
        <v>321</v>
      </c>
      <c r="K23" s="43" t="s">
        <v>322</v>
      </c>
      <c r="L23" s="43" t="s">
        <v>321</v>
      </c>
      <c r="M23" s="43" t="s">
        <v>322</v>
      </c>
      <c r="N23" s="43" t="s">
        <v>321</v>
      </c>
      <c r="O23" s="43" t="s">
        <v>322</v>
      </c>
      <c r="P23" s="43" t="s">
        <v>321</v>
      </c>
      <c r="Q23" s="43" t="s">
        <v>322</v>
      </c>
      <c r="R23" s="43" t="s">
        <v>321</v>
      </c>
      <c r="S23" s="43" t="s">
        <v>322</v>
      </c>
      <c r="T23" s="43" t="s">
        <v>321</v>
      </c>
      <c r="U23" s="43" t="s">
        <v>322</v>
      </c>
      <c r="V23" s="43" t="s">
        <v>321</v>
      </c>
      <c r="W23" s="43" t="s">
        <v>322</v>
      </c>
      <c r="X23" s="43" t="s">
        <v>321</v>
      </c>
      <c r="Y23" s="43" t="s">
        <v>322</v>
      </c>
      <c r="Z23" s="43" t="s">
        <v>321</v>
      </c>
      <c r="AA23" s="43" t="s">
        <v>322</v>
      </c>
      <c r="AB23" s="43" t="s">
        <v>321</v>
      </c>
      <c r="AC23" s="43" t="s">
        <v>322</v>
      </c>
      <c r="AD23" s="43" t="s">
        <v>321</v>
      </c>
      <c r="AE23" s="43" t="s">
        <v>322</v>
      </c>
      <c r="AF23" s="43" t="s">
        <v>321</v>
      </c>
      <c r="AG23" s="43" t="s">
        <v>322</v>
      </c>
      <c r="AH23" s="43" t="s">
        <v>321</v>
      </c>
      <c r="AI23" s="43" t="s">
        <v>322</v>
      </c>
      <c r="AJ23" s="43" t="s">
        <v>321</v>
      </c>
      <c r="AK23" s="43" t="s">
        <v>322</v>
      </c>
      <c r="AL23" s="43" t="s">
        <v>321</v>
      </c>
      <c r="AM23" s="43" t="s">
        <v>322</v>
      </c>
      <c r="AN23" s="43" t="s">
        <v>321</v>
      </c>
      <c r="AO23" s="43" t="s">
        <v>322</v>
      </c>
      <c r="AP23" s="43" t="s">
        <v>321</v>
      </c>
      <c r="AQ23" s="43" t="s">
        <v>322</v>
      </c>
      <c r="AR23" s="43" t="s">
        <v>321</v>
      </c>
      <c r="AS23" s="43" t="s">
        <v>322</v>
      </c>
      <c r="AT23" s="43" t="s">
        <v>321</v>
      </c>
      <c r="AU23" s="43" t="s">
        <v>322</v>
      </c>
      <c r="AV23" s="43" t="s">
        <v>321</v>
      </c>
      <c r="AW23" s="43" t="s">
        <v>322</v>
      </c>
      <c r="AX23" s="43" t="s">
        <v>321</v>
      </c>
      <c r="AY23" s="43" t="s">
        <v>322</v>
      </c>
      <c r="AZ23" s="43" t="s">
        <v>321</v>
      </c>
      <c r="BA23" s="43" t="s">
        <v>322</v>
      </c>
      <c r="BB23" s="43" t="s">
        <v>321</v>
      </c>
      <c r="BC23" s="43" t="s">
        <v>322</v>
      </c>
      <c r="BD23" s="43" t="s">
        <v>321</v>
      </c>
      <c r="BE23" s="43" t="s">
        <v>322</v>
      </c>
      <c r="BF23" s="43" t="s">
        <v>321</v>
      </c>
      <c r="BG23" s="43" t="s">
        <v>322</v>
      </c>
      <c r="BH23" s="43" t="s">
        <v>321</v>
      </c>
      <c r="BI23" s="43" t="s">
        <v>322</v>
      </c>
      <c r="BJ23" s="43" t="s">
        <v>321</v>
      </c>
      <c r="BK23" s="43" t="s">
        <v>322</v>
      </c>
      <c r="BL23" s="43" t="s">
        <v>321</v>
      </c>
      <c r="BM23" s="43" t="s">
        <v>322</v>
      </c>
      <c r="BN23" s="43" t="s">
        <v>321</v>
      </c>
      <c r="BO23" s="43" t="s">
        <v>322</v>
      </c>
      <c r="BP23" s="43" t="s">
        <v>321</v>
      </c>
      <c r="BQ23" s="43" t="s">
        <v>322</v>
      </c>
      <c r="BR23" s="43" t="s">
        <v>321</v>
      </c>
      <c r="BS23" s="43" t="s">
        <v>322</v>
      </c>
    </row>
    <row r="24" spans="1:71" x14ac:dyDescent="0.25">
      <c r="A24" s="44" t="s">
        <v>338</v>
      </c>
      <c r="B24" s="44">
        <v>379065</v>
      </c>
      <c r="C24" s="44">
        <v>753228</v>
      </c>
      <c r="D24" s="44"/>
      <c r="E24" s="44"/>
      <c r="F24" s="44"/>
      <c r="G24" s="44"/>
      <c r="H24" s="44"/>
      <c r="I24" s="44"/>
      <c r="J24" s="123">
        <v>13490974</v>
      </c>
      <c r="K24" s="44">
        <v>48570259</v>
      </c>
      <c r="L24" s="44">
        <v>3442229</v>
      </c>
      <c r="M24" s="44">
        <v>11429996</v>
      </c>
      <c r="N24" s="44">
        <v>9087253</v>
      </c>
      <c r="O24" s="44">
        <v>30010789</v>
      </c>
      <c r="P24" s="44"/>
      <c r="Q24" s="44"/>
      <c r="R24" s="44">
        <v>167502</v>
      </c>
      <c r="S24" s="44">
        <v>211094</v>
      </c>
      <c r="T24" s="44">
        <v>140608</v>
      </c>
      <c r="U24" s="44">
        <v>268965</v>
      </c>
      <c r="V24" s="44"/>
      <c r="W24" s="44"/>
      <c r="X24" s="44">
        <f>1989438+1363109</f>
        <v>3352547</v>
      </c>
      <c r="Y24" s="44">
        <f>6479983+4954708</f>
        <v>11434691</v>
      </c>
      <c r="Z24" s="44">
        <v>3519356</v>
      </c>
      <c r="AA24" s="44">
        <v>8545305</v>
      </c>
      <c r="AB24" s="44">
        <f>4831846+4453854</f>
        <v>9285700</v>
      </c>
      <c r="AC24" s="44">
        <f>14248661+16351195</f>
        <v>30599856</v>
      </c>
      <c r="AD24" s="44">
        <v>18206403</v>
      </c>
      <c r="AE24" s="44">
        <v>64235302</v>
      </c>
      <c r="AF24" s="44">
        <v>9316846</v>
      </c>
      <c r="AG24" s="44">
        <v>32612548</v>
      </c>
      <c r="AH24" s="44">
        <v>549785</v>
      </c>
      <c r="AI24" s="44">
        <v>1976001</v>
      </c>
      <c r="AJ24" s="44">
        <f>898074+1203670</f>
        <v>2101744</v>
      </c>
      <c r="AK24" s="44">
        <f>3143285+4403742</f>
        <v>7547027</v>
      </c>
      <c r="AL24" s="44">
        <v>2272634</v>
      </c>
      <c r="AM24" s="44">
        <v>7465473</v>
      </c>
      <c r="AN24" s="44"/>
      <c r="AO24" s="44"/>
      <c r="AP24" s="44">
        <v>16640424.326729212</v>
      </c>
      <c r="AQ24" s="44">
        <v>61765676.852752313</v>
      </c>
      <c r="AR24" s="44">
        <v>28677233</v>
      </c>
      <c r="AS24" s="44">
        <v>103225519</v>
      </c>
      <c r="AT24" s="44">
        <v>12430404</v>
      </c>
      <c r="AU24" s="44">
        <v>46623776</v>
      </c>
      <c r="AV24" s="44">
        <v>308697</v>
      </c>
      <c r="AW24" s="44">
        <v>769574</v>
      </c>
      <c r="AX24" s="44">
        <v>6464581</v>
      </c>
      <c r="AY24" s="44">
        <v>28567449</v>
      </c>
      <c r="AZ24" s="44"/>
      <c r="BA24" s="44"/>
      <c r="BB24" s="44"/>
      <c r="BC24" s="44"/>
      <c r="BD24" s="116">
        <v>5126476</v>
      </c>
      <c r="BE24" s="116">
        <v>20758747</v>
      </c>
      <c r="BF24" s="44">
        <v>2276110</v>
      </c>
      <c r="BG24" s="44">
        <v>9160974</v>
      </c>
      <c r="BH24" s="44">
        <v>6675125</v>
      </c>
      <c r="BI24" s="44">
        <v>22524500</v>
      </c>
      <c r="BJ24" s="44"/>
      <c r="BK24" s="44"/>
      <c r="BL24" s="44">
        <v>10430988</v>
      </c>
      <c r="BM24" s="44">
        <v>37913371</v>
      </c>
      <c r="BN24" s="44">
        <v>18759234</v>
      </c>
      <c r="BO24" s="44">
        <v>67413316</v>
      </c>
      <c r="BP24" s="44">
        <v>2291557</v>
      </c>
      <c r="BQ24" s="44">
        <v>6993616</v>
      </c>
      <c r="BR24" s="44">
        <f t="shared" ref="BR24:BS28" si="4">B24+D24+F24+H24+J24+L24+N24+P24+R24+T24+V24+X24+Z24+AB24+AD24+AF24+AH24+AJ24+AL24+AN24+AP24+AR24+AT24+AV24+AX24+BB24+BD24+BF24+BH24+BJ24+BL24+BN24+BP24</f>
        <v>185393475.32672921</v>
      </c>
      <c r="BS24" s="44">
        <f t="shared" si="4"/>
        <v>661377052.85275233</v>
      </c>
    </row>
    <row r="25" spans="1:71" x14ac:dyDescent="0.25">
      <c r="A25" s="44" t="s">
        <v>339</v>
      </c>
      <c r="B25" s="44"/>
      <c r="C25" s="44"/>
      <c r="D25" s="44"/>
      <c r="E25" s="44"/>
      <c r="F25" s="44"/>
      <c r="G25" s="44"/>
      <c r="H25" s="44"/>
      <c r="I25" s="44"/>
      <c r="J25" s="123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>
        <v>7</v>
      </c>
      <c r="AE25" s="44">
        <v>10966</v>
      </c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>
        <v>-7.0000000050640665E-5</v>
      </c>
      <c r="AQ25" s="44">
        <v>1178.7269999999999</v>
      </c>
      <c r="AR25" s="44">
        <v>36061</v>
      </c>
      <c r="AS25" s="44">
        <v>253528</v>
      </c>
      <c r="AT25" s="44">
        <v>6255</v>
      </c>
      <c r="AU25" s="44">
        <v>14192</v>
      </c>
      <c r="AV25" s="44"/>
      <c r="AW25" s="44"/>
      <c r="AX25" s="44"/>
      <c r="AY25" s="44"/>
      <c r="AZ25" s="44"/>
      <c r="BA25" s="44"/>
      <c r="BB25" s="44"/>
      <c r="BC25" s="44"/>
      <c r="BD25" s="116"/>
      <c r="BE25" s="116"/>
      <c r="BF25" s="44"/>
      <c r="BG25" s="44"/>
      <c r="BH25" s="44"/>
      <c r="BI25" s="44"/>
      <c r="BJ25" s="44"/>
      <c r="BK25" s="44"/>
      <c r="BL25" s="44"/>
      <c r="BM25" s="44"/>
      <c r="BN25" s="44">
        <v>0</v>
      </c>
      <c r="BO25" s="44">
        <v>0</v>
      </c>
      <c r="BP25" s="44"/>
      <c r="BQ25" s="44"/>
      <c r="BR25" s="44">
        <f t="shared" si="4"/>
        <v>42322.999929999998</v>
      </c>
      <c r="BS25" s="44">
        <f t="shared" si="4"/>
        <v>279864.72700000001</v>
      </c>
    </row>
    <row r="26" spans="1:71" x14ac:dyDescent="0.25">
      <c r="A26" s="44" t="s">
        <v>340</v>
      </c>
      <c r="B26" s="44">
        <v>89163</v>
      </c>
      <c r="C26" s="44">
        <v>191730</v>
      </c>
      <c r="D26" s="44"/>
      <c r="E26" s="44"/>
      <c r="F26" s="44"/>
      <c r="G26" s="44"/>
      <c r="H26" s="44"/>
      <c r="I26" s="44"/>
      <c r="J26" s="123">
        <v>697021</v>
      </c>
      <c r="K26" s="44">
        <v>2527277</v>
      </c>
      <c r="L26" s="44">
        <v>402684</v>
      </c>
      <c r="M26" s="44">
        <v>866822</v>
      </c>
      <c r="N26" s="44">
        <v>1077525</v>
      </c>
      <c r="O26" s="44">
        <v>3631738</v>
      </c>
      <c r="P26" s="44"/>
      <c r="Q26" s="44"/>
      <c r="R26" s="44">
        <v>-17115</v>
      </c>
      <c r="S26" s="44">
        <v>-22603</v>
      </c>
      <c r="T26" s="44">
        <v>9754</v>
      </c>
      <c r="U26" s="44">
        <v>23692</v>
      </c>
      <c r="V26" s="44"/>
      <c r="W26" s="44"/>
      <c r="X26" s="44">
        <f>71457+125356</f>
        <v>196813</v>
      </c>
      <c r="Y26" s="44">
        <f>279937+374857</f>
        <v>654794</v>
      </c>
      <c r="Z26" s="44">
        <v>234087</v>
      </c>
      <c r="AA26" s="44">
        <v>573786</v>
      </c>
      <c r="AB26" s="44">
        <f>-1117080-1211733</f>
        <v>-2328813</v>
      </c>
      <c r="AC26" s="44">
        <f>-3745085-3309114</f>
        <v>-7054199</v>
      </c>
      <c r="AD26" s="44">
        <v>2403400</v>
      </c>
      <c r="AE26" s="44">
        <v>6681584</v>
      </c>
      <c r="AF26" s="44">
        <v>1400757</v>
      </c>
      <c r="AG26" s="44">
        <v>4952137</v>
      </c>
      <c r="AH26" s="44">
        <v>34280</v>
      </c>
      <c r="AI26" s="44">
        <v>121816</v>
      </c>
      <c r="AJ26" s="44">
        <f>68990+45856</f>
        <v>114846</v>
      </c>
      <c r="AK26" s="44">
        <f>260189+204244</f>
        <v>464433</v>
      </c>
      <c r="AL26" s="44">
        <v>-677396</v>
      </c>
      <c r="AM26" s="44">
        <v>-3194647</v>
      </c>
      <c r="AN26" s="44"/>
      <c r="AO26" s="44"/>
      <c r="AP26" s="44">
        <v>4193511.0111447992</v>
      </c>
      <c r="AQ26" s="44">
        <v>15483801.5067048</v>
      </c>
      <c r="AR26" s="44">
        <v>1948250</v>
      </c>
      <c r="AS26" s="44">
        <v>6221070</v>
      </c>
      <c r="AT26" s="44">
        <v>593861</v>
      </c>
      <c r="AU26" s="44">
        <v>2393736</v>
      </c>
      <c r="AV26" s="44">
        <f>22320+41</f>
        <v>22361</v>
      </c>
      <c r="AW26" s="44">
        <f>183+55505</f>
        <v>55688</v>
      </c>
      <c r="AX26" s="44">
        <v>1724871</v>
      </c>
      <c r="AY26" s="44">
        <v>7485353</v>
      </c>
      <c r="AZ26" s="44"/>
      <c r="BA26" s="44"/>
      <c r="BB26" s="44"/>
      <c r="BC26" s="44"/>
      <c r="BD26" s="116">
        <v>-862653</v>
      </c>
      <c r="BE26" s="116">
        <v>-3596659</v>
      </c>
      <c r="BF26" s="44">
        <v>163774</v>
      </c>
      <c r="BG26" s="44">
        <v>660545</v>
      </c>
      <c r="BH26" s="44">
        <v>383107</v>
      </c>
      <c r="BI26" s="44">
        <v>1264016</v>
      </c>
      <c r="BJ26" s="44"/>
      <c r="BK26" s="44"/>
      <c r="BL26" s="44">
        <v>2100081</v>
      </c>
      <c r="BM26" s="44">
        <v>7877125</v>
      </c>
      <c r="BN26" s="44">
        <v>958009</v>
      </c>
      <c r="BO26" s="44">
        <v>3458756</v>
      </c>
      <c r="BP26" s="44">
        <f>71924+88556</f>
        <v>160480</v>
      </c>
      <c r="BQ26" s="44">
        <f>240910+277070</f>
        <v>517980</v>
      </c>
      <c r="BR26" s="44">
        <f t="shared" si="4"/>
        <v>15022658.011144798</v>
      </c>
      <c r="BS26" s="44">
        <f t="shared" si="4"/>
        <v>52239771.5067048</v>
      </c>
    </row>
    <row r="27" spans="1:71" x14ac:dyDescent="0.25">
      <c r="A27" s="44" t="s">
        <v>188</v>
      </c>
      <c r="B27" s="44">
        <v>289902</v>
      </c>
      <c r="C27" s="44">
        <v>561498</v>
      </c>
      <c r="D27" s="44"/>
      <c r="E27" s="44"/>
      <c r="F27" s="44"/>
      <c r="G27" s="44"/>
      <c r="H27" s="44"/>
      <c r="I27" s="44"/>
      <c r="J27" s="123">
        <v>12793953</v>
      </c>
      <c r="K27" s="44">
        <v>46042982</v>
      </c>
      <c r="L27" s="44">
        <v>3039544</v>
      </c>
      <c r="M27" s="44">
        <v>10563173</v>
      </c>
      <c r="N27" s="44">
        <v>8009728</v>
      </c>
      <c r="O27" s="44">
        <v>26379051</v>
      </c>
      <c r="P27" s="44"/>
      <c r="Q27" s="44"/>
      <c r="R27" s="44">
        <v>150387</v>
      </c>
      <c r="S27" s="44">
        <v>189031</v>
      </c>
      <c r="T27" s="44"/>
      <c r="U27" s="44"/>
      <c r="V27" s="44"/>
      <c r="W27" s="44"/>
      <c r="X27" s="44">
        <f>1864082+1291652</f>
        <v>3155734</v>
      </c>
      <c r="Y27" s="44">
        <f>6105126+4674771</f>
        <v>10779897</v>
      </c>
      <c r="Z27" s="44">
        <v>3285269</v>
      </c>
      <c r="AA27" s="44">
        <v>7971519</v>
      </c>
      <c r="AB27" s="44">
        <f>3620114+3336774</f>
        <v>6956888</v>
      </c>
      <c r="AC27" s="44">
        <f>10939547+12606110</f>
        <v>23545657</v>
      </c>
      <c r="AD27" s="44">
        <v>15803010</v>
      </c>
      <c r="AE27" s="44">
        <v>57564684</v>
      </c>
      <c r="AF27" s="44">
        <v>7916089</v>
      </c>
      <c r="AG27" s="44">
        <v>27660411</v>
      </c>
      <c r="AH27" s="119">
        <v>515505</v>
      </c>
      <c r="AI27" s="44">
        <v>1854185</v>
      </c>
      <c r="AJ27" s="44">
        <f>852218+1134680</f>
        <v>1986898</v>
      </c>
      <c r="AK27" s="44">
        <f>2939042+4143553</f>
        <v>7082595</v>
      </c>
      <c r="AL27" s="44">
        <v>1595238</v>
      </c>
      <c r="AM27" s="44">
        <v>4270826</v>
      </c>
      <c r="AN27" s="44"/>
      <c r="AO27" s="44"/>
      <c r="AP27" s="44">
        <v>12446913.315514412</v>
      </c>
      <c r="AQ27" s="44">
        <v>46283054.073047511</v>
      </c>
      <c r="AR27" s="44">
        <v>26765044</v>
      </c>
      <c r="AS27" s="44">
        <v>97257977</v>
      </c>
      <c r="AT27" s="44">
        <v>11842798</v>
      </c>
      <c r="AU27" s="44">
        <v>44244232</v>
      </c>
      <c r="AV27" s="44">
        <v>286337</v>
      </c>
      <c r="AW27" s="44">
        <v>713885</v>
      </c>
      <c r="AX27" s="44">
        <v>4739710</v>
      </c>
      <c r="AY27" s="44">
        <v>21082096</v>
      </c>
      <c r="AZ27" s="44"/>
      <c r="BA27" s="44"/>
      <c r="BB27" s="44"/>
      <c r="BC27" s="44"/>
      <c r="BD27" s="51">
        <v>4263823</v>
      </c>
      <c r="BE27" s="51">
        <v>17162088</v>
      </c>
      <c r="BF27" s="44">
        <v>2112336</v>
      </c>
      <c r="BG27" s="44">
        <v>8500429</v>
      </c>
      <c r="BH27" s="44">
        <v>6292017</v>
      </c>
      <c r="BI27" s="44">
        <v>21260484</v>
      </c>
      <c r="BJ27" s="44"/>
      <c r="BK27" s="44"/>
      <c r="BL27" s="44">
        <v>8330907</v>
      </c>
      <c r="BM27" s="44">
        <v>30036246</v>
      </c>
      <c r="BN27" s="44">
        <v>17801225</v>
      </c>
      <c r="BO27" s="44">
        <v>63954560</v>
      </c>
      <c r="BP27" s="44">
        <v>2131077</v>
      </c>
      <c r="BQ27" s="44">
        <v>6475636</v>
      </c>
      <c r="BR27" s="44">
        <f t="shared" si="4"/>
        <v>162510332.31551442</v>
      </c>
      <c r="BS27" s="44">
        <f t="shared" si="4"/>
        <v>581436196.07304752</v>
      </c>
    </row>
    <row r="28" spans="1:71" x14ac:dyDescent="0.25">
      <c r="A28" s="44" t="s">
        <v>341</v>
      </c>
      <c r="B28" s="44">
        <v>99464</v>
      </c>
      <c r="C28" s="44">
        <v>144071</v>
      </c>
      <c r="D28" s="44"/>
      <c r="E28" s="44"/>
      <c r="F28" s="44"/>
      <c r="G28" s="44"/>
      <c r="H28" s="44"/>
      <c r="I28" s="44"/>
      <c r="J28" s="123">
        <v>11184257</v>
      </c>
      <c r="K28" s="44">
        <v>42162532</v>
      </c>
      <c r="L28" s="44">
        <v>2563155</v>
      </c>
      <c r="M28" s="44">
        <v>10151179</v>
      </c>
      <c r="N28" s="44">
        <v>6252922</v>
      </c>
      <c r="O28" s="44">
        <v>24120575</v>
      </c>
      <c r="P28" s="44"/>
      <c r="Q28" s="44"/>
      <c r="R28" s="44">
        <v>70823</v>
      </c>
      <c r="S28" s="44">
        <v>88761</v>
      </c>
      <c r="T28" s="44">
        <v>47321</v>
      </c>
      <c r="U28" s="44">
        <v>50120</v>
      </c>
      <c r="V28" s="44"/>
      <c r="W28" s="44"/>
      <c r="X28" s="44">
        <f>1438517+1149513</f>
        <v>2588030</v>
      </c>
      <c r="Y28" s="44">
        <f>5440506+4696800</f>
        <v>10137306</v>
      </c>
      <c r="Z28" s="44">
        <v>1586803</v>
      </c>
      <c r="AA28" s="44">
        <v>3531185</v>
      </c>
      <c r="AB28" s="44">
        <f>2469146+3026257</f>
        <v>5495403</v>
      </c>
      <c r="AC28" s="44">
        <f>8551427+11660818</f>
        <v>20212245</v>
      </c>
      <c r="AD28" s="44">
        <v>13659541</v>
      </c>
      <c r="AE28" s="44">
        <v>50356488</v>
      </c>
      <c r="AF28" s="44">
        <v>6690520</v>
      </c>
      <c r="AG28" s="44">
        <v>26180362</v>
      </c>
      <c r="AH28" s="119">
        <v>439695</v>
      </c>
      <c r="AI28" s="44">
        <v>1535170</v>
      </c>
      <c r="AJ28" s="44">
        <f>699873+1010694</f>
        <v>1710567</v>
      </c>
      <c r="AK28" s="44">
        <f>2300634+3674303</f>
        <v>5974937</v>
      </c>
      <c r="AL28" s="44">
        <v>1383077</v>
      </c>
      <c r="AM28" s="44">
        <v>3184332</v>
      </c>
      <c r="AN28" s="44"/>
      <c r="AO28" s="44"/>
      <c r="AP28" s="44">
        <v>13446875.803514412</v>
      </c>
      <c r="AQ28" s="44">
        <v>49538624.743047513</v>
      </c>
      <c r="AR28" s="44">
        <v>24299276</v>
      </c>
      <c r="AS28" s="44">
        <v>98344183</v>
      </c>
      <c r="AT28" s="44">
        <v>12118957</v>
      </c>
      <c r="AU28" s="44">
        <v>43435211</v>
      </c>
      <c r="AV28" s="44">
        <v>172111</v>
      </c>
      <c r="AW28" s="44">
        <v>590301</v>
      </c>
      <c r="AX28" s="44">
        <v>5841720</v>
      </c>
      <c r="AY28" s="44">
        <v>21185763</v>
      </c>
      <c r="AZ28" s="44"/>
      <c r="BA28" s="44"/>
      <c r="BB28" s="44"/>
      <c r="BC28" s="44"/>
      <c r="BD28" s="51">
        <v>4271653</v>
      </c>
      <c r="BE28" s="51">
        <v>17314759</v>
      </c>
      <c r="BF28" s="44">
        <v>2173301</v>
      </c>
      <c r="BG28" s="44">
        <v>9296370</v>
      </c>
      <c r="BH28" s="44">
        <v>5169891</v>
      </c>
      <c r="BI28" s="44">
        <v>20158195</v>
      </c>
      <c r="BJ28" s="44"/>
      <c r="BK28" s="44"/>
      <c r="BL28" s="44">
        <v>7401922</v>
      </c>
      <c r="BM28" s="44">
        <v>27902083</v>
      </c>
      <c r="BN28" s="44">
        <v>16989075</v>
      </c>
      <c r="BO28" s="44">
        <v>60679269</v>
      </c>
      <c r="BP28" s="44">
        <v>1442082</v>
      </c>
      <c r="BQ28" s="44">
        <v>5846375</v>
      </c>
      <c r="BR28" s="44">
        <f t="shared" si="4"/>
        <v>147098441.80351442</v>
      </c>
      <c r="BS28" s="44">
        <f t="shared" si="4"/>
        <v>552120396.74304748</v>
      </c>
    </row>
    <row r="29" spans="1:71" x14ac:dyDescent="0.25">
      <c r="AH29" s="106"/>
    </row>
    <row r="30" spans="1:71" s="8" customFormat="1" x14ac:dyDescent="0.25">
      <c r="A30" s="7" t="s">
        <v>143</v>
      </c>
    </row>
    <row r="31" spans="1:71" s="15" customFormat="1" x14ac:dyDescent="0.25">
      <c r="A31" s="23" t="s">
        <v>0</v>
      </c>
      <c r="B31" s="200" t="s">
        <v>1</v>
      </c>
      <c r="C31" s="200"/>
      <c r="D31" s="200" t="s">
        <v>2</v>
      </c>
      <c r="E31" s="200"/>
      <c r="F31" s="200" t="s">
        <v>3</v>
      </c>
      <c r="G31" s="200"/>
      <c r="H31" s="200" t="s">
        <v>4</v>
      </c>
      <c r="I31" s="200"/>
      <c r="J31" s="200" t="s">
        <v>5</v>
      </c>
      <c r="K31" s="200"/>
      <c r="L31" s="200" t="s">
        <v>6</v>
      </c>
      <c r="M31" s="200"/>
      <c r="N31" s="200" t="s">
        <v>7</v>
      </c>
      <c r="O31" s="200"/>
      <c r="P31" s="200" t="s">
        <v>8</v>
      </c>
      <c r="Q31" s="200"/>
      <c r="R31" s="200" t="s">
        <v>9</v>
      </c>
      <c r="S31" s="200"/>
      <c r="T31" s="200" t="s">
        <v>10</v>
      </c>
      <c r="U31" s="200"/>
      <c r="V31" s="200" t="s">
        <v>11</v>
      </c>
      <c r="W31" s="200"/>
      <c r="X31" s="200" t="s">
        <v>12</v>
      </c>
      <c r="Y31" s="200"/>
      <c r="Z31" s="200" t="s">
        <v>13</v>
      </c>
      <c r="AA31" s="200"/>
      <c r="AB31" s="200" t="s">
        <v>14</v>
      </c>
      <c r="AC31" s="200"/>
      <c r="AD31" s="200" t="s">
        <v>15</v>
      </c>
      <c r="AE31" s="200"/>
      <c r="AF31" s="200" t="s">
        <v>16</v>
      </c>
      <c r="AG31" s="200"/>
      <c r="AH31" s="200" t="s">
        <v>17</v>
      </c>
      <c r="AI31" s="200"/>
      <c r="AJ31" s="200" t="s">
        <v>18</v>
      </c>
      <c r="AK31" s="200"/>
      <c r="AL31" s="200" t="s">
        <v>19</v>
      </c>
      <c r="AM31" s="200"/>
      <c r="AN31" s="200" t="s">
        <v>20</v>
      </c>
      <c r="AO31" s="200"/>
      <c r="AP31" s="200" t="s">
        <v>21</v>
      </c>
      <c r="AQ31" s="200"/>
      <c r="AR31" s="200" t="s">
        <v>147</v>
      </c>
      <c r="AS31" s="200"/>
      <c r="AT31" s="200" t="s">
        <v>148</v>
      </c>
      <c r="AU31" s="200"/>
      <c r="AV31" s="200" t="s">
        <v>22</v>
      </c>
      <c r="AW31" s="200"/>
      <c r="AX31" s="200" t="s">
        <v>23</v>
      </c>
      <c r="AY31" s="200"/>
      <c r="AZ31" s="200" t="s">
        <v>332</v>
      </c>
      <c r="BA31" s="200"/>
      <c r="BB31" s="200" t="s">
        <v>24</v>
      </c>
      <c r="BC31" s="200"/>
      <c r="BD31" s="200" t="s">
        <v>25</v>
      </c>
      <c r="BE31" s="200"/>
      <c r="BF31" s="200" t="s">
        <v>26</v>
      </c>
      <c r="BG31" s="200"/>
      <c r="BH31" s="200" t="s">
        <v>27</v>
      </c>
      <c r="BI31" s="200"/>
      <c r="BJ31" s="200" t="s">
        <v>28</v>
      </c>
      <c r="BK31" s="200"/>
      <c r="BL31" s="200" t="s">
        <v>29</v>
      </c>
      <c r="BM31" s="200"/>
      <c r="BN31" s="200" t="s">
        <v>30</v>
      </c>
      <c r="BO31" s="200"/>
      <c r="BP31" s="200" t="s">
        <v>31</v>
      </c>
      <c r="BQ31" s="200"/>
      <c r="BR31" s="200" t="s">
        <v>250</v>
      </c>
      <c r="BS31" s="200"/>
    </row>
    <row r="32" spans="1:71" s="42" customFormat="1" ht="44.25" customHeight="1" x14ac:dyDescent="0.25">
      <c r="A32" s="43"/>
      <c r="B32" s="43" t="s">
        <v>321</v>
      </c>
      <c r="C32" s="43" t="s">
        <v>322</v>
      </c>
      <c r="D32" s="43" t="s">
        <v>321</v>
      </c>
      <c r="E32" s="43" t="s">
        <v>322</v>
      </c>
      <c r="F32" s="43" t="s">
        <v>321</v>
      </c>
      <c r="G32" s="43" t="s">
        <v>322</v>
      </c>
      <c r="H32" s="43" t="s">
        <v>321</v>
      </c>
      <c r="I32" s="43" t="s">
        <v>322</v>
      </c>
      <c r="J32" s="43" t="s">
        <v>321</v>
      </c>
      <c r="K32" s="43" t="s">
        <v>322</v>
      </c>
      <c r="L32" s="43" t="s">
        <v>321</v>
      </c>
      <c r="M32" s="43" t="s">
        <v>322</v>
      </c>
      <c r="N32" s="43" t="s">
        <v>321</v>
      </c>
      <c r="O32" s="43" t="s">
        <v>322</v>
      </c>
      <c r="P32" s="43" t="s">
        <v>321</v>
      </c>
      <c r="Q32" s="43" t="s">
        <v>322</v>
      </c>
      <c r="R32" s="43" t="s">
        <v>321</v>
      </c>
      <c r="S32" s="43" t="s">
        <v>322</v>
      </c>
      <c r="T32" s="43" t="s">
        <v>321</v>
      </c>
      <c r="U32" s="43" t="s">
        <v>322</v>
      </c>
      <c r="V32" s="43" t="s">
        <v>321</v>
      </c>
      <c r="W32" s="43" t="s">
        <v>322</v>
      </c>
      <c r="X32" s="43" t="s">
        <v>321</v>
      </c>
      <c r="Y32" s="43" t="s">
        <v>322</v>
      </c>
      <c r="Z32" s="43" t="s">
        <v>321</v>
      </c>
      <c r="AA32" s="43" t="s">
        <v>322</v>
      </c>
      <c r="AB32" s="43" t="s">
        <v>321</v>
      </c>
      <c r="AC32" s="43" t="s">
        <v>322</v>
      </c>
      <c r="AD32" s="43" t="s">
        <v>321</v>
      </c>
      <c r="AE32" s="43" t="s">
        <v>322</v>
      </c>
      <c r="AF32" s="43" t="s">
        <v>321</v>
      </c>
      <c r="AG32" s="43" t="s">
        <v>322</v>
      </c>
      <c r="AH32" s="43" t="s">
        <v>321</v>
      </c>
      <c r="AI32" s="43" t="s">
        <v>322</v>
      </c>
      <c r="AJ32" s="43" t="s">
        <v>321</v>
      </c>
      <c r="AK32" s="43" t="s">
        <v>322</v>
      </c>
      <c r="AL32" s="43" t="s">
        <v>321</v>
      </c>
      <c r="AM32" s="43" t="s">
        <v>322</v>
      </c>
      <c r="AN32" s="43" t="s">
        <v>321</v>
      </c>
      <c r="AO32" s="43" t="s">
        <v>322</v>
      </c>
      <c r="AP32" s="43" t="s">
        <v>321</v>
      </c>
      <c r="AQ32" s="43" t="s">
        <v>322</v>
      </c>
      <c r="AR32" s="43" t="s">
        <v>321</v>
      </c>
      <c r="AS32" s="43" t="s">
        <v>322</v>
      </c>
      <c r="AT32" s="43" t="s">
        <v>321</v>
      </c>
      <c r="AU32" s="43" t="s">
        <v>322</v>
      </c>
      <c r="AV32" s="43" t="s">
        <v>321</v>
      </c>
      <c r="AW32" s="43" t="s">
        <v>322</v>
      </c>
      <c r="AX32" s="43" t="s">
        <v>321</v>
      </c>
      <c r="AY32" s="43" t="s">
        <v>322</v>
      </c>
      <c r="AZ32" s="43" t="s">
        <v>321</v>
      </c>
      <c r="BA32" s="43" t="s">
        <v>322</v>
      </c>
      <c r="BB32" s="43" t="s">
        <v>321</v>
      </c>
      <c r="BC32" s="43" t="s">
        <v>322</v>
      </c>
      <c r="BD32" s="43" t="s">
        <v>321</v>
      </c>
      <c r="BE32" s="43" t="s">
        <v>322</v>
      </c>
      <c r="BF32" s="43" t="s">
        <v>321</v>
      </c>
      <c r="BG32" s="43" t="s">
        <v>322</v>
      </c>
      <c r="BH32" s="43" t="s">
        <v>321</v>
      </c>
      <c r="BI32" s="43" t="s">
        <v>322</v>
      </c>
      <c r="BJ32" s="43" t="s">
        <v>321</v>
      </c>
      <c r="BK32" s="43" t="s">
        <v>322</v>
      </c>
      <c r="BL32" s="43" t="s">
        <v>321</v>
      </c>
      <c r="BM32" s="43" t="s">
        <v>322</v>
      </c>
      <c r="BN32" s="43" t="s">
        <v>321</v>
      </c>
      <c r="BO32" s="43" t="s">
        <v>322</v>
      </c>
      <c r="BP32" s="43" t="s">
        <v>321</v>
      </c>
      <c r="BQ32" s="43" t="s">
        <v>322</v>
      </c>
      <c r="BR32" s="43" t="s">
        <v>321</v>
      </c>
      <c r="BS32" s="43" t="s">
        <v>322</v>
      </c>
    </row>
    <row r="33" spans="1:71" s="148" customFormat="1" x14ac:dyDescent="0.25">
      <c r="A33" s="44" t="s">
        <v>338</v>
      </c>
      <c r="B33" s="45"/>
      <c r="C33" s="45"/>
      <c r="D33" s="45"/>
      <c r="E33" s="45"/>
      <c r="F33" s="45"/>
      <c r="G33" s="45"/>
      <c r="H33" s="45"/>
      <c r="I33" s="45"/>
      <c r="J33" s="134">
        <v>337515</v>
      </c>
      <c r="K33" s="45">
        <v>1412102</v>
      </c>
      <c r="L33" s="45">
        <v>117995</v>
      </c>
      <c r="M33" s="45">
        <v>310323</v>
      </c>
      <c r="N33" s="45">
        <v>84485</v>
      </c>
      <c r="O33" s="45">
        <v>355337</v>
      </c>
      <c r="P33" s="45"/>
      <c r="Q33" s="45"/>
      <c r="R33" s="45"/>
      <c r="S33" s="45">
        <v>8856</v>
      </c>
      <c r="T33" s="45"/>
      <c r="U33" s="45"/>
      <c r="V33" s="45"/>
      <c r="W33" s="45"/>
      <c r="X33" s="45">
        <v>101437</v>
      </c>
      <c r="Y33" s="45">
        <v>415696</v>
      </c>
      <c r="Z33" s="45">
        <v>7397</v>
      </c>
      <c r="AA33" s="45">
        <v>24818</v>
      </c>
      <c r="AB33" s="45">
        <v>342544</v>
      </c>
      <c r="AC33" s="45">
        <v>1490983</v>
      </c>
      <c r="AD33" s="45">
        <v>650635</v>
      </c>
      <c r="AE33" s="45">
        <v>2849291</v>
      </c>
      <c r="AF33" s="45">
        <v>188681</v>
      </c>
      <c r="AG33" s="45">
        <v>773824</v>
      </c>
      <c r="AH33" s="181">
        <v>1834</v>
      </c>
      <c r="AI33" s="45">
        <v>3622</v>
      </c>
      <c r="AJ33" s="45">
        <v>63279</v>
      </c>
      <c r="AK33" s="45">
        <v>253637</v>
      </c>
      <c r="AL33" s="45">
        <v>35893</v>
      </c>
      <c r="AM33" s="45">
        <v>85330</v>
      </c>
      <c r="AN33" s="45"/>
      <c r="AO33" s="45"/>
      <c r="AP33" s="45">
        <v>652009.04402589961</v>
      </c>
      <c r="AQ33" s="45">
        <v>2243381.4878135999</v>
      </c>
      <c r="AR33" s="45">
        <v>1942911</v>
      </c>
      <c r="AS33" s="45">
        <v>5768568</v>
      </c>
      <c r="AT33" s="45">
        <v>597234</v>
      </c>
      <c r="AU33" s="45">
        <v>2381315</v>
      </c>
      <c r="AV33" s="45">
        <v>2255</v>
      </c>
      <c r="AW33" s="45">
        <v>6514</v>
      </c>
      <c r="AX33" s="45">
        <v>220938</v>
      </c>
      <c r="AY33" s="45">
        <v>838670</v>
      </c>
      <c r="AZ33" s="45"/>
      <c r="BA33" s="45"/>
      <c r="BB33" s="45"/>
      <c r="BC33" s="45"/>
      <c r="BD33" s="169">
        <v>145361</v>
      </c>
      <c r="BE33" s="169">
        <v>609344</v>
      </c>
      <c r="BF33" s="44">
        <v>99644</v>
      </c>
      <c r="BG33" s="44">
        <v>324529</v>
      </c>
      <c r="BH33" s="45">
        <v>39874</v>
      </c>
      <c r="BI33" s="45">
        <v>150054</v>
      </c>
      <c r="BJ33" s="45"/>
      <c r="BK33" s="45"/>
      <c r="BL33" s="45">
        <v>271302</v>
      </c>
      <c r="BM33" s="45">
        <v>1077446</v>
      </c>
      <c r="BN33" s="45">
        <v>1139312</v>
      </c>
      <c r="BO33" s="45">
        <v>3932192</v>
      </c>
      <c r="BP33" s="45">
        <v>34791</v>
      </c>
      <c r="BQ33" s="45">
        <v>104573</v>
      </c>
      <c r="BR33" s="45">
        <f t="shared" ref="BR33:BS37" si="5">B33+D33+F33+H33+J33+L33+N33+P33+R33+T33+V33+X33+Z33+AB33+AD33+AF33+AH33+AJ33+AL33+AN33+AP33+AR33+AT33+AV33+AX33+BB33+BD33+BF33+BH33+BJ33+BL33+BN33+BP33</f>
        <v>7077326.0440258998</v>
      </c>
      <c r="BS33" s="45">
        <f t="shared" si="5"/>
        <v>25420405.487813599</v>
      </c>
    </row>
    <row r="34" spans="1:71" s="148" customFormat="1" x14ac:dyDescent="0.25">
      <c r="A34" s="44" t="s">
        <v>339</v>
      </c>
      <c r="B34" s="45"/>
      <c r="C34" s="45"/>
      <c r="D34" s="45"/>
      <c r="E34" s="45"/>
      <c r="F34" s="45"/>
      <c r="G34" s="45"/>
      <c r="H34" s="45"/>
      <c r="I34" s="45"/>
      <c r="J34" s="134"/>
      <c r="K34" s="45"/>
      <c r="L34" s="45">
        <v>3265</v>
      </c>
      <c r="M34" s="45">
        <v>12041</v>
      </c>
      <c r="N34" s="45">
        <v>3326</v>
      </c>
      <c r="O34" s="45">
        <v>17939</v>
      </c>
      <c r="P34" s="45"/>
      <c r="Q34" s="45"/>
      <c r="R34" s="45">
        <v>194</v>
      </c>
      <c r="S34" s="45">
        <v>1062</v>
      </c>
      <c r="T34" s="45">
        <v>969</v>
      </c>
      <c r="U34" s="45">
        <v>5311</v>
      </c>
      <c r="V34" s="45"/>
      <c r="W34" s="45"/>
      <c r="X34" s="45">
        <v>9597</v>
      </c>
      <c r="Y34" s="45">
        <v>3414</v>
      </c>
      <c r="Z34" s="45">
        <v>4169</v>
      </c>
      <c r="AA34" s="45">
        <v>18156</v>
      </c>
      <c r="AB34" s="45">
        <v>35484</v>
      </c>
      <c r="AC34" s="45">
        <v>81768</v>
      </c>
      <c r="AD34" s="45">
        <v>39681</v>
      </c>
      <c r="AE34" s="45">
        <v>321135</v>
      </c>
      <c r="AF34" s="45">
        <v>47165</v>
      </c>
      <c r="AG34" s="45">
        <v>56674</v>
      </c>
      <c r="AH34" s="181">
        <v>969</v>
      </c>
      <c r="AI34" s="45">
        <v>5045</v>
      </c>
      <c r="AJ34" s="45">
        <v>2985</v>
      </c>
      <c r="AK34" s="45">
        <v>13730</v>
      </c>
      <c r="AL34" s="45">
        <v>1924</v>
      </c>
      <c r="AM34" s="45">
        <v>14072</v>
      </c>
      <c r="AN34" s="45"/>
      <c r="AO34" s="45"/>
      <c r="AP34" s="45">
        <v>122304.8360393</v>
      </c>
      <c r="AQ34" s="45">
        <v>163625.9457248</v>
      </c>
      <c r="AR34" s="44">
        <v>194570</v>
      </c>
      <c r="AS34" s="44">
        <v>558990</v>
      </c>
      <c r="AT34" s="45">
        <v>47224</v>
      </c>
      <c r="AU34" s="45">
        <v>360575</v>
      </c>
      <c r="AV34" s="44">
        <v>97</v>
      </c>
      <c r="AW34" s="44">
        <v>505</v>
      </c>
      <c r="AX34" s="44">
        <v>5889</v>
      </c>
      <c r="AY34" s="45">
        <v>156218</v>
      </c>
      <c r="AZ34" s="45"/>
      <c r="BA34" s="45"/>
      <c r="BB34" s="45"/>
      <c r="BC34" s="45"/>
      <c r="BD34" s="169">
        <v>7467</v>
      </c>
      <c r="BE34" s="116">
        <v>41192</v>
      </c>
      <c r="BF34" s="44">
        <v>1514</v>
      </c>
      <c r="BG34" s="44">
        <v>7879</v>
      </c>
      <c r="BH34" s="45">
        <v>1398</v>
      </c>
      <c r="BI34" s="45">
        <v>8867</v>
      </c>
      <c r="BJ34" s="45"/>
      <c r="BK34" s="45"/>
      <c r="BL34" s="45">
        <v>4833</v>
      </c>
      <c r="BM34" s="45">
        <v>26231</v>
      </c>
      <c r="BN34" s="45">
        <v>42078</v>
      </c>
      <c r="BO34" s="45">
        <v>140053</v>
      </c>
      <c r="BP34" s="45">
        <v>969</v>
      </c>
      <c r="BQ34" s="45">
        <v>5045</v>
      </c>
      <c r="BR34" s="44">
        <f t="shared" si="5"/>
        <v>578071.83603930008</v>
      </c>
      <c r="BS34" s="44">
        <f t="shared" si="5"/>
        <v>2019527.9457248</v>
      </c>
    </row>
    <row r="35" spans="1:71" s="148" customFormat="1" x14ac:dyDescent="0.25">
      <c r="A35" s="44" t="s">
        <v>340</v>
      </c>
      <c r="B35" s="45"/>
      <c r="C35" s="45"/>
      <c r="D35" s="45"/>
      <c r="E35" s="45"/>
      <c r="F35" s="45"/>
      <c r="G35" s="45"/>
      <c r="H35" s="45"/>
      <c r="I35" s="45"/>
      <c r="J35" s="134">
        <v>274593</v>
      </c>
      <c r="K35" s="45">
        <v>1211849</v>
      </c>
      <c r="L35" s="45">
        <v>100826</v>
      </c>
      <c r="M35" s="45">
        <v>254450</v>
      </c>
      <c r="N35" s="45">
        <v>58303</v>
      </c>
      <c r="O35" s="45">
        <v>255778</v>
      </c>
      <c r="P35" s="45"/>
      <c r="Q35" s="45"/>
      <c r="R35" s="45">
        <v>-23</v>
      </c>
      <c r="S35" s="45">
        <v>-8464</v>
      </c>
      <c r="T35" s="45">
        <v>174</v>
      </c>
      <c r="U35" s="45">
        <v>476</v>
      </c>
      <c r="V35" s="45"/>
      <c r="W35" s="45"/>
      <c r="X35" s="45">
        <v>60603</v>
      </c>
      <c r="Y35" s="45">
        <v>294986</v>
      </c>
      <c r="Z35" s="45">
        <v>10390</v>
      </c>
      <c r="AA35" s="45">
        <v>35900</v>
      </c>
      <c r="AB35" s="45">
        <v>-293251</v>
      </c>
      <c r="AC35" s="45">
        <v>-1211460</v>
      </c>
      <c r="AD35" s="45">
        <v>482543</v>
      </c>
      <c r="AE35" s="45">
        <v>2225695</v>
      </c>
      <c r="AF35" s="45">
        <v>151730</v>
      </c>
      <c r="AG35" s="45">
        <v>617496</v>
      </c>
      <c r="AH35" s="181">
        <v>1677</v>
      </c>
      <c r="AI35" s="45">
        <v>3642</v>
      </c>
      <c r="AJ35" s="45">
        <v>36974</v>
      </c>
      <c r="AK35" s="45">
        <v>197057</v>
      </c>
      <c r="AL35" s="45">
        <v>-33895</v>
      </c>
      <c r="AM35" s="45">
        <v>-83686</v>
      </c>
      <c r="AN35" s="45"/>
      <c r="AO35" s="45"/>
      <c r="AP35" s="45">
        <v>202512.97807399998</v>
      </c>
      <c r="AQ35" s="45">
        <v>545472.23152000003</v>
      </c>
      <c r="AR35" s="44">
        <v>820644</v>
      </c>
      <c r="AS35" s="44">
        <v>2512726</v>
      </c>
      <c r="AT35" s="45">
        <v>221853</v>
      </c>
      <c r="AU35" s="45">
        <v>829794</v>
      </c>
      <c r="AV35" s="44">
        <v>1245</v>
      </c>
      <c r="AW35" s="44">
        <v>4368</v>
      </c>
      <c r="AX35" s="44">
        <v>28570</v>
      </c>
      <c r="AY35" s="45">
        <v>612513</v>
      </c>
      <c r="AZ35" s="45"/>
      <c r="BA35" s="45"/>
      <c r="BB35" s="45"/>
      <c r="BC35" s="45"/>
      <c r="BD35" s="169">
        <v>-132457</v>
      </c>
      <c r="BE35" s="116">
        <v>-569337</v>
      </c>
      <c r="BF35" s="44">
        <v>57883</v>
      </c>
      <c r="BG35" s="44">
        <v>210083</v>
      </c>
      <c r="BH35" s="45">
        <v>15052</v>
      </c>
      <c r="BI35" s="45">
        <v>72149</v>
      </c>
      <c r="BJ35" s="45"/>
      <c r="BK35" s="45"/>
      <c r="BL35" s="45">
        <v>266051</v>
      </c>
      <c r="BM35" s="45">
        <v>1040910</v>
      </c>
      <c r="BN35" s="45">
        <v>350123</v>
      </c>
      <c r="BO35" s="45">
        <v>1779249</v>
      </c>
      <c r="BP35" s="45">
        <v>21159</v>
      </c>
      <c r="BQ35" s="45">
        <v>75425</v>
      </c>
      <c r="BR35" s="44">
        <f t="shared" si="5"/>
        <v>2703279.9780740002</v>
      </c>
      <c r="BS35" s="44">
        <f t="shared" si="5"/>
        <v>10907071.231520001</v>
      </c>
    </row>
    <row r="36" spans="1:71" x14ac:dyDescent="0.25">
      <c r="A36" s="44" t="s">
        <v>188</v>
      </c>
      <c r="B36" s="44"/>
      <c r="C36" s="44"/>
      <c r="D36" s="44"/>
      <c r="E36" s="44"/>
      <c r="F36" s="44"/>
      <c r="G36" s="44"/>
      <c r="H36" s="44"/>
      <c r="I36" s="44"/>
      <c r="J36" s="124">
        <v>71486</v>
      </c>
      <c r="K36" s="44">
        <v>265300</v>
      </c>
      <c r="L36" s="44">
        <v>20434</v>
      </c>
      <c r="M36" s="44">
        <v>67914</v>
      </c>
      <c r="N36" s="44">
        <v>29508</v>
      </c>
      <c r="O36" s="44">
        <v>117498</v>
      </c>
      <c r="P36" s="44"/>
      <c r="Q36" s="44"/>
      <c r="R36" s="44">
        <v>171</v>
      </c>
      <c r="S36" s="44">
        <v>1454</v>
      </c>
      <c r="T36" s="44"/>
      <c r="U36" s="44"/>
      <c r="V36" s="44"/>
      <c r="W36" s="44"/>
      <c r="X36" s="44">
        <v>50431</v>
      </c>
      <c r="Y36" s="44">
        <v>124124</v>
      </c>
      <c r="Z36" s="44">
        <v>1175</v>
      </c>
      <c r="AA36" s="44">
        <v>7074</v>
      </c>
      <c r="AB36" s="44">
        <v>84776</v>
      </c>
      <c r="AC36" s="44">
        <v>361291</v>
      </c>
      <c r="AD36" s="44">
        <v>207773</v>
      </c>
      <c r="AE36" s="44">
        <v>944731</v>
      </c>
      <c r="AF36" s="44">
        <v>84116</v>
      </c>
      <c r="AG36" s="44">
        <v>213002</v>
      </c>
      <c r="AH36" s="44">
        <v>1126</v>
      </c>
      <c r="AI36" s="44">
        <v>5025</v>
      </c>
      <c r="AJ36" s="44">
        <v>29290</v>
      </c>
      <c r="AK36" s="44">
        <v>70310</v>
      </c>
      <c r="AL36" s="44">
        <v>3922</v>
      </c>
      <c r="AM36" s="44">
        <v>15716</v>
      </c>
      <c r="AN36" s="44"/>
      <c r="AO36" s="44"/>
      <c r="AP36" s="44">
        <v>571800.90199119959</v>
      </c>
      <c r="AQ36" s="44">
        <v>1861535.2020183997</v>
      </c>
      <c r="AR36" s="44">
        <v>1316836</v>
      </c>
      <c r="AS36" s="44">
        <v>3814832</v>
      </c>
      <c r="AT36" s="44">
        <v>422605</v>
      </c>
      <c r="AU36" s="44">
        <v>1912096</v>
      </c>
      <c r="AV36" s="44">
        <v>1107</v>
      </c>
      <c r="AW36" s="44">
        <v>2650</v>
      </c>
      <c r="AX36" s="44">
        <v>70609</v>
      </c>
      <c r="AY36" s="44">
        <v>254727</v>
      </c>
      <c r="AZ36" s="44"/>
      <c r="BA36" s="44"/>
      <c r="BB36" s="44"/>
      <c r="BC36" s="44"/>
      <c r="BD36" s="51">
        <v>20371</v>
      </c>
      <c r="BE36" s="51">
        <v>81199</v>
      </c>
      <c r="BF36" s="44">
        <v>43275</v>
      </c>
      <c r="BG36" s="44">
        <v>122325</v>
      </c>
      <c r="BH36" s="44">
        <v>26220</v>
      </c>
      <c r="BI36" s="44">
        <v>86772</v>
      </c>
      <c r="BJ36" s="44"/>
      <c r="BK36" s="44"/>
      <c r="BL36" s="44">
        <v>10084</v>
      </c>
      <c r="BM36" s="44">
        <v>62767</v>
      </c>
      <c r="BN36" s="44">
        <v>831267</v>
      </c>
      <c r="BO36" s="44">
        <v>2292996</v>
      </c>
      <c r="BP36" s="44">
        <v>14601</v>
      </c>
      <c r="BQ36" s="44">
        <v>34193</v>
      </c>
      <c r="BR36" s="44">
        <f t="shared" si="5"/>
        <v>3912983.9019911997</v>
      </c>
      <c r="BS36" s="44">
        <f t="shared" si="5"/>
        <v>12719531.202018399</v>
      </c>
    </row>
    <row r="37" spans="1:71" x14ac:dyDescent="0.25">
      <c r="A37" s="44" t="s">
        <v>341</v>
      </c>
      <c r="B37" s="44"/>
      <c r="C37" s="44"/>
      <c r="D37" s="44"/>
      <c r="E37" s="44"/>
      <c r="F37" s="44"/>
      <c r="G37" s="44"/>
      <c r="H37" s="44"/>
      <c r="I37" s="44"/>
      <c r="J37" s="44">
        <v>62007</v>
      </c>
      <c r="K37" s="44">
        <v>256049</v>
      </c>
      <c r="L37" s="44">
        <v>12077</v>
      </c>
      <c r="M37" s="44">
        <v>47087</v>
      </c>
      <c r="N37" s="44">
        <v>24351</v>
      </c>
      <c r="O37" s="44">
        <v>101184</v>
      </c>
      <c r="P37" s="44"/>
      <c r="Q37" s="44"/>
      <c r="R37" s="44">
        <v>74</v>
      </c>
      <c r="S37" s="44">
        <v>670</v>
      </c>
      <c r="T37" s="44">
        <v>873</v>
      </c>
      <c r="U37" s="44">
        <v>3531</v>
      </c>
      <c r="V37" s="44"/>
      <c r="W37" s="44"/>
      <c r="X37" s="44">
        <v>51116</v>
      </c>
      <c r="Y37" s="44">
        <v>142904</v>
      </c>
      <c r="Z37" s="44">
        <v>1102</v>
      </c>
      <c r="AA37" s="44">
        <v>1996</v>
      </c>
      <c r="AB37" s="44">
        <v>80946</v>
      </c>
      <c r="AC37" s="44">
        <v>354944</v>
      </c>
      <c r="AD37" s="44">
        <v>241348</v>
      </c>
      <c r="AE37" s="44">
        <v>873092</v>
      </c>
      <c r="AF37" s="44">
        <v>51739</v>
      </c>
      <c r="AG37" s="44">
        <v>199565</v>
      </c>
      <c r="AH37" s="44">
        <v>1231</v>
      </c>
      <c r="AI37" s="44">
        <v>4323</v>
      </c>
      <c r="AJ37" s="44">
        <v>19173</v>
      </c>
      <c r="AK37" s="44">
        <v>62095</v>
      </c>
      <c r="AL37" s="44">
        <v>3011</v>
      </c>
      <c r="AM37" s="44">
        <v>14971</v>
      </c>
      <c r="AN37" s="44"/>
      <c r="AO37" s="44"/>
      <c r="AP37" s="44">
        <v>650118.60199119966</v>
      </c>
      <c r="AQ37" s="44">
        <v>2025628.3340183997</v>
      </c>
      <c r="AR37" s="44">
        <v>969443</v>
      </c>
      <c r="AS37" s="44">
        <v>3116459</v>
      </c>
      <c r="AT37" s="44">
        <v>475555</v>
      </c>
      <c r="AU37" s="44">
        <v>1970021</v>
      </c>
      <c r="AV37" s="44">
        <v>732</v>
      </c>
      <c r="AW37" s="44">
        <v>2416</v>
      </c>
      <c r="AX37" s="44">
        <v>89632</v>
      </c>
      <c r="AY37" s="44">
        <v>258318</v>
      </c>
      <c r="AZ37" s="44"/>
      <c r="BA37" s="44"/>
      <c r="BB37" s="44"/>
      <c r="BC37" s="44"/>
      <c r="BD37" s="51">
        <v>21408</v>
      </c>
      <c r="BE37" s="51">
        <v>71792</v>
      </c>
      <c r="BF37" s="44">
        <v>26984</v>
      </c>
      <c r="BG37" s="44">
        <v>81166</v>
      </c>
      <c r="BH37" s="44">
        <v>19305</v>
      </c>
      <c r="BI37" s="44">
        <v>83040</v>
      </c>
      <c r="BJ37" s="44"/>
      <c r="BK37" s="44"/>
      <c r="BL37" s="44">
        <v>14056</v>
      </c>
      <c r="BM37" s="44">
        <v>43604</v>
      </c>
      <c r="BN37" s="44">
        <v>1138246</v>
      </c>
      <c r="BO37" s="44">
        <v>2472001</v>
      </c>
      <c r="BP37" s="44">
        <v>8186</v>
      </c>
      <c r="BQ37" s="44">
        <v>29466</v>
      </c>
      <c r="BR37" s="44">
        <f t="shared" si="5"/>
        <v>3962713.6019911999</v>
      </c>
      <c r="BS37" s="44">
        <f t="shared" si="5"/>
        <v>12216322.3340184</v>
      </c>
    </row>
    <row r="38" spans="1:71" s="48" customFormat="1" x14ac:dyDescent="0.25">
      <c r="A38" s="147"/>
      <c r="AH38" s="166"/>
    </row>
    <row r="39" spans="1:71" s="8" customFormat="1" x14ac:dyDescent="0.25">
      <c r="A39" s="7" t="s">
        <v>169</v>
      </c>
    </row>
    <row r="40" spans="1:71" s="15" customFormat="1" x14ac:dyDescent="0.25">
      <c r="A40" s="23" t="s">
        <v>0</v>
      </c>
      <c r="B40" s="200" t="s">
        <v>1</v>
      </c>
      <c r="C40" s="200"/>
      <c r="D40" s="200" t="s">
        <v>2</v>
      </c>
      <c r="E40" s="200"/>
      <c r="F40" s="200" t="s">
        <v>3</v>
      </c>
      <c r="G40" s="200"/>
      <c r="H40" s="200" t="s">
        <v>4</v>
      </c>
      <c r="I40" s="200"/>
      <c r="J40" s="200" t="s">
        <v>5</v>
      </c>
      <c r="K40" s="200"/>
      <c r="L40" s="200" t="s">
        <v>6</v>
      </c>
      <c r="M40" s="200"/>
      <c r="N40" s="200" t="s">
        <v>7</v>
      </c>
      <c r="O40" s="200"/>
      <c r="P40" s="200" t="s">
        <v>8</v>
      </c>
      <c r="Q40" s="200"/>
      <c r="R40" s="200" t="s">
        <v>9</v>
      </c>
      <c r="S40" s="200"/>
      <c r="T40" s="200" t="s">
        <v>10</v>
      </c>
      <c r="U40" s="200"/>
      <c r="V40" s="200" t="s">
        <v>11</v>
      </c>
      <c r="W40" s="200"/>
      <c r="X40" s="200" t="s">
        <v>12</v>
      </c>
      <c r="Y40" s="200"/>
      <c r="Z40" s="200" t="s">
        <v>13</v>
      </c>
      <c r="AA40" s="200"/>
      <c r="AB40" s="200" t="s">
        <v>14</v>
      </c>
      <c r="AC40" s="200"/>
      <c r="AD40" s="200" t="s">
        <v>15</v>
      </c>
      <c r="AE40" s="200"/>
      <c r="AF40" s="200" t="s">
        <v>16</v>
      </c>
      <c r="AG40" s="200"/>
      <c r="AH40" s="200" t="s">
        <v>17</v>
      </c>
      <c r="AI40" s="200"/>
      <c r="AJ40" s="200" t="s">
        <v>18</v>
      </c>
      <c r="AK40" s="200"/>
      <c r="AL40" s="200" t="s">
        <v>19</v>
      </c>
      <c r="AM40" s="200"/>
      <c r="AN40" s="200" t="s">
        <v>20</v>
      </c>
      <c r="AO40" s="200"/>
      <c r="AP40" s="200" t="s">
        <v>21</v>
      </c>
      <c r="AQ40" s="200"/>
      <c r="AR40" s="200" t="s">
        <v>147</v>
      </c>
      <c r="AS40" s="200"/>
      <c r="AT40" s="200" t="s">
        <v>148</v>
      </c>
      <c r="AU40" s="200"/>
      <c r="AV40" s="200" t="s">
        <v>22</v>
      </c>
      <c r="AW40" s="200"/>
      <c r="AX40" s="200" t="s">
        <v>23</v>
      </c>
      <c r="AY40" s="200"/>
      <c r="AZ40" s="200" t="s">
        <v>332</v>
      </c>
      <c r="BA40" s="200"/>
      <c r="BB40" s="200" t="s">
        <v>24</v>
      </c>
      <c r="BC40" s="200"/>
      <c r="BD40" s="200" t="s">
        <v>25</v>
      </c>
      <c r="BE40" s="200"/>
      <c r="BF40" s="200" t="s">
        <v>26</v>
      </c>
      <c r="BG40" s="200"/>
      <c r="BH40" s="200" t="s">
        <v>27</v>
      </c>
      <c r="BI40" s="200"/>
      <c r="BJ40" s="200" t="s">
        <v>28</v>
      </c>
      <c r="BK40" s="200"/>
      <c r="BL40" s="200" t="s">
        <v>29</v>
      </c>
      <c r="BM40" s="200"/>
      <c r="BN40" s="200" t="s">
        <v>30</v>
      </c>
      <c r="BO40" s="200"/>
      <c r="BP40" s="200" t="s">
        <v>31</v>
      </c>
      <c r="BQ40" s="200"/>
      <c r="BR40" s="200" t="s">
        <v>250</v>
      </c>
      <c r="BS40" s="200"/>
    </row>
    <row r="41" spans="1:71" s="42" customFormat="1" ht="44.25" customHeight="1" x14ac:dyDescent="0.25">
      <c r="A41" s="43"/>
      <c r="B41" s="43" t="s">
        <v>321</v>
      </c>
      <c r="C41" s="43" t="s">
        <v>322</v>
      </c>
      <c r="D41" s="43" t="s">
        <v>321</v>
      </c>
      <c r="E41" s="43" t="s">
        <v>322</v>
      </c>
      <c r="F41" s="43" t="s">
        <v>321</v>
      </c>
      <c r="G41" s="43" t="s">
        <v>322</v>
      </c>
      <c r="H41" s="43" t="s">
        <v>321</v>
      </c>
      <c r="I41" s="43" t="s">
        <v>322</v>
      </c>
      <c r="J41" s="43" t="s">
        <v>321</v>
      </c>
      <c r="K41" s="43" t="s">
        <v>322</v>
      </c>
      <c r="L41" s="43" t="s">
        <v>321</v>
      </c>
      <c r="M41" s="43" t="s">
        <v>322</v>
      </c>
      <c r="N41" s="43" t="s">
        <v>321</v>
      </c>
      <c r="O41" s="43" t="s">
        <v>322</v>
      </c>
      <c r="P41" s="43" t="s">
        <v>321</v>
      </c>
      <c r="Q41" s="43" t="s">
        <v>322</v>
      </c>
      <c r="R41" s="43" t="s">
        <v>321</v>
      </c>
      <c r="S41" s="43" t="s">
        <v>322</v>
      </c>
      <c r="T41" s="43" t="s">
        <v>321</v>
      </c>
      <c r="U41" s="43" t="s">
        <v>322</v>
      </c>
      <c r="V41" s="43" t="s">
        <v>321</v>
      </c>
      <c r="W41" s="43" t="s">
        <v>322</v>
      </c>
      <c r="X41" s="43" t="s">
        <v>321</v>
      </c>
      <c r="Y41" s="43" t="s">
        <v>322</v>
      </c>
      <c r="Z41" s="43" t="s">
        <v>321</v>
      </c>
      <c r="AA41" s="43" t="s">
        <v>322</v>
      </c>
      <c r="AB41" s="43" t="s">
        <v>321</v>
      </c>
      <c r="AC41" s="43" t="s">
        <v>322</v>
      </c>
      <c r="AD41" s="43" t="s">
        <v>321</v>
      </c>
      <c r="AE41" s="43" t="s">
        <v>322</v>
      </c>
      <c r="AF41" s="43" t="s">
        <v>321</v>
      </c>
      <c r="AG41" s="43" t="s">
        <v>322</v>
      </c>
      <c r="AH41" s="43" t="s">
        <v>321</v>
      </c>
      <c r="AI41" s="43" t="s">
        <v>322</v>
      </c>
      <c r="AJ41" s="43" t="s">
        <v>321</v>
      </c>
      <c r="AK41" s="43" t="s">
        <v>322</v>
      </c>
      <c r="AL41" s="43" t="s">
        <v>321</v>
      </c>
      <c r="AM41" s="43" t="s">
        <v>322</v>
      </c>
      <c r="AN41" s="43" t="s">
        <v>321</v>
      </c>
      <c r="AO41" s="43" t="s">
        <v>322</v>
      </c>
      <c r="AP41" s="43" t="s">
        <v>321</v>
      </c>
      <c r="AQ41" s="43" t="s">
        <v>322</v>
      </c>
      <c r="AR41" s="43" t="s">
        <v>321</v>
      </c>
      <c r="AS41" s="43" t="s">
        <v>322</v>
      </c>
      <c r="AT41" s="43" t="s">
        <v>321</v>
      </c>
      <c r="AU41" s="43" t="s">
        <v>322</v>
      </c>
      <c r="AV41" s="43" t="s">
        <v>321</v>
      </c>
      <c r="AW41" s="43" t="s">
        <v>322</v>
      </c>
      <c r="AX41" s="43" t="s">
        <v>321</v>
      </c>
      <c r="AY41" s="43" t="s">
        <v>322</v>
      </c>
      <c r="AZ41" s="43" t="s">
        <v>321</v>
      </c>
      <c r="BA41" s="43" t="s">
        <v>322</v>
      </c>
      <c r="BB41" s="43" t="s">
        <v>321</v>
      </c>
      <c r="BC41" s="43" t="s">
        <v>322</v>
      </c>
      <c r="BD41" s="43" t="s">
        <v>321</v>
      </c>
      <c r="BE41" s="43" t="s">
        <v>322</v>
      </c>
      <c r="BF41" s="43" t="s">
        <v>321</v>
      </c>
      <c r="BG41" s="43" t="s">
        <v>322</v>
      </c>
      <c r="BH41" s="43" t="s">
        <v>321</v>
      </c>
      <c r="BI41" s="43" t="s">
        <v>322</v>
      </c>
      <c r="BJ41" s="43" t="s">
        <v>321</v>
      </c>
      <c r="BK41" s="43" t="s">
        <v>322</v>
      </c>
      <c r="BL41" s="43" t="s">
        <v>321</v>
      </c>
      <c r="BM41" s="43" t="s">
        <v>322</v>
      </c>
      <c r="BN41" s="43" t="s">
        <v>321</v>
      </c>
      <c r="BO41" s="43" t="s">
        <v>322</v>
      </c>
      <c r="BP41" s="43" t="s">
        <v>321</v>
      </c>
      <c r="BQ41" s="43" t="s">
        <v>322</v>
      </c>
      <c r="BR41" s="43" t="s">
        <v>321</v>
      </c>
      <c r="BS41" s="43" t="s">
        <v>322</v>
      </c>
    </row>
    <row r="42" spans="1:71" x14ac:dyDescent="0.25">
      <c r="A42" s="44" t="s">
        <v>338</v>
      </c>
      <c r="B42" s="44">
        <v>126607</v>
      </c>
      <c r="C42" s="44">
        <v>303768</v>
      </c>
      <c r="D42" s="44">
        <v>1580924</v>
      </c>
      <c r="E42" s="44">
        <v>4234305</v>
      </c>
      <c r="F42" s="44"/>
      <c r="G42" s="44"/>
      <c r="H42" s="44">
        <v>8499969</v>
      </c>
      <c r="I42" s="44">
        <v>19875310</v>
      </c>
      <c r="J42" s="192">
        <v>4930483</v>
      </c>
      <c r="K42" s="44">
        <v>23368837</v>
      </c>
      <c r="L42" s="44">
        <v>662624</v>
      </c>
      <c r="M42" s="44">
        <v>3118263</v>
      </c>
      <c r="N42" s="44">
        <v>807131</v>
      </c>
      <c r="O42" s="44">
        <v>2737081</v>
      </c>
      <c r="P42" s="44">
        <v>1260317</v>
      </c>
      <c r="Q42" s="44">
        <v>4688219</v>
      </c>
      <c r="R42" s="44">
        <v>112447</v>
      </c>
      <c r="S42" s="44">
        <v>1042577</v>
      </c>
      <c r="T42" s="44">
        <v>209932</v>
      </c>
      <c r="U42" s="44">
        <v>632972</v>
      </c>
      <c r="V42" s="44"/>
      <c r="W42" s="44"/>
      <c r="X42" s="44">
        <v>1067157</v>
      </c>
      <c r="Y42" s="44">
        <v>2949335</v>
      </c>
      <c r="Z42" s="44">
        <v>34692</v>
      </c>
      <c r="AA42" s="44">
        <v>152528</v>
      </c>
      <c r="AB42" s="44">
        <v>3399625</v>
      </c>
      <c r="AC42" s="44">
        <v>12787131</v>
      </c>
      <c r="AD42" s="44">
        <v>6411154</v>
      </c>
      <c r="AE42" s="44">
        <v>22671629</v>
      </c>
      <c r="AF42" s="44">
        <v>2263164</v>
      </c>
      <c r="AG42" s="44">
        <v>8036780</v>
      </c>
      <c r="AH42" s="44">
        <v>228833</v>
      </c>
      <c r="AI42" s="44">
        <v>607617</v>
      </c>
      <c r="AJ42" s="44">
        <v>618134</v>
      </c>
      <c r="AK42" s="44">
        <v>1988150</v>
      </c>
      <c r="AL42" s="44">
        <v>629985</v>
      </c>
      <c r="AM42" s="44">
        <v>812876</v>
      </c>
      <c r="AN42" s="44">
        <v>3104980</v>
      </c>
      <c r="AO42" s="44">
        <v>9144909</v>
      </c>
      <c r="AP42" s="44">
        <v>19067458.275780596</v>
      </c>
      <c r="AQ42" s="44">
        <v>58970650.951623999</v>
      </c>
      <c r="AR42" s="44">
        <v>21309195</v>
      </c>
      <c r="AS42" s="44">
        <v>83965902</v>
      </c>
      <c r="AT42" s="44">
        <v>12143009</v>
      </c>
      <c r="AU42" s="44">
        <v>40880937</v>
      </c>
      <c r="AV42" s="44">
        <v>348</v>
      </c>
      <c r="AW42" s="44">
        <v>992</v>
      </c>
      <c r="AX42" s="44">
        <v>1794592</v>
      </c>
      <c r="AY42" s="44">
        <v>10703626</v>
      </c>
      <c r="AZ42" s="44">
        <v>35429</v>
      </c>
      <c r="BA42" s="44">
        <v>40895</v>
      </c>
      <c r="BB42" s="44">
        <v>4448206</v>
      </c>
      <c r="BC42" s="44">
        <v>16112234</v>
      </c>
      <c r="BD42" s="170">
        <v>996896</v>
      </c>
      <c r="BE42" s="116">
        <v>3579232</v>
      </c>
      <c r="BF42" s="44">
        <v>1563393</v>
      </c>
      <c r="BG42" s="44">
        <v>5143069</v>
      </c>
      <c r="BH42" s="44">
        <v>1859</v>
      </c>
      <c r="BI42" s="44">
        <v>7896</v>
      </c>
      <c r="BJ42" s="44"/>
      <c r="BK42" s="44"/>
      <c r="BL42" s="44">
        <v>2031386</v>
      </c>
      <c r="BM42" s="44">
        <v>8004995</v>
      </c>
      <c r="BN42" s="44">
        <v>18291912</v>
      </c>
      <c r="BO42" s="44">
        <v>53652465</v>
      </c>
      <c r="BP42" s="44">
        <v>387133</v>
      </c>
      <c r="BQ42" s="44">
        <v>1349805</v>
      </c>
      <c r="BR42" s="44">
        <f t="shared" ref="BR42:BS46" si="6">B42+D42+F42+H42+J42+L42+N42+P42+R42+T42+V42+X42+Z42+AB42+AD42+AF42+AH42+AJ42+AL42+AN42+AP42+AR42+AT42+AV42+AX42+BB42+BD42+BF42+BH42+BJ42+BL42+BN42+BP42</f>
        <v>117983545.27578059</v>
      </c>
      <c r="BS42" s="44">
        <f t="shared" si="6"/>
        <v>401524090.95162404</v>
      </c>
    </row>
    <row r="43" spans="1:71" x14ac:dyDescent="0.25">
      <c r="A43" s="44" t="s">
        <v>339</v>
      </c>
      <c r="B43" s="44"/>
      <c r="C43" s="44"/>
      <c r="D43" s="44"/>
      <c r="E43" s="44"/>
      <c r="F43" s="44"/>
      <c r="G43" s="44"/>
      <c r="H43" s="44"/>
      <c r="I43" s="44"/>
      <c r="J43" s="192"/>
      <c r="K43" s="44"/>
      <c r="L43" s="44"/>
      <c r="M43" s="44"/>
      <c r="N43" s="44"/>
      <c r="O43" s="44"/>
      <c r="P43" s="44"/>
      <c r="Q43" s="44"/>
      <c r="R43" s="44"/>
      <c r="S43" s="44"/>
      <c r="T43" s="44">
        <v>26231</v>
      </c>
      <c r="U43" s="44">
        <v>62347</v>
      </c>
      <c r="V43" s="44"/>
      <c r="W43" s="44"/>
      <c r="X43" s="44"/>
      <c r="Y43" s="44"/>
      <c r="Z43" s="44"/>
      <c r="AA43" s="44"/>
      <c r="AB43" s="44"/>
      <c r="AC43" s="44">
        <v>77</v>
      </c>
      <c r="AD43" s="44">
        <v>252661</v>
      </c>
      <c r="AE43" s="44">
        <v>1656708</v>
      </c>
      <c r="AF43" s="44"/>
      <c r="AG43" s="44"/>
      <c r="AH43" s="44"/>
      <c r="AI43" s="44"/>
      <c r="AJ43" s="44"/>
      <c r="AK43" s="44"/>
      <c r="AL43" s="44">
        <v>50441</v>
      </c>
      <c r="AM43" s="44">
        <v>50441</v>
      </c>
      <c r="AN43" s="44"/>
      <c r="AO43" s="44"/>
      <c r="AP43" s="44">
        <v>0</v>
      </c>
      <c r="AQ43" s="44">
        <v>0</v>
      </c>
      <c r="AR43" s="44">
        <v>0</v>
      </c>
      <c r="AS43" s="44">
        <v>0</v>
      </c>
      <c r="AT43" s="44">
        <v>228324</v>
      </c>
      <c r="AU43" s="44">
        <v>272134</v>
      </c>
      <c r="AV43" s="44"/>
      <c r="AW43" s="44"/>
      <c r="AX43" s="44"/>
      <c r="AY43" s="44"/>
      <c r="AZ43" s="44"/>
      <c r="BA43" s="44"/>
      <c r="BB43" s="44">
        <v>14737</v>
      </c>
      <c r="BC43" s="44">
        <v>176996</v>
      </c>
      <c r="BD43" s="169"/>
      <c r="BE43" s="116"/>
      <c r="BF43" s="44"/>
      <c r="BG43" s="44"/>
      <c r="BH43" s="44"/>
      <c r="BI43" s="44"/>
      <c r="BJ43" s="44"/>
      <c r="BK43" s="44"/>
      <c r="BL43" s="44"/>
      <c r="BM43" s="44"/>
      <c r="BN43" s="44">
        <v>0</v>
      </c>
      <c r="BO43" s="44">
        <v>0</v>
      </c>
      <c r="BP43" s="44"/>
      <c r="BQ43" s="44"/>
      <c r="BR43" s="44">
        <f t="shared" si="6"/>
        <v>572394</v>
      </c>
      <c r="BS43" s="44">
        <f t="shared" si="6"/>
        <v>2218703</v>
      </c>
    </row>
    <row r="44" spans="1:71" x14ac:dyDescent="0.25">
      <c r="A44" s="44" t="s">
        <v>340</v>
      </c>
      <c r="B44" s="44">
        <v>6359</v>
      </c>
      <c r="C44" s="44">
        <v>17259</v>
      </c>
      <c r="D44" s="44">
        <v>86001</v>
      </c>
      <c r="E44" s="44">
        <v>230773</v>
      </c>
      <c r="F44" s="44"/>
      <c r="G44" s="44"/>
      <c r="H44" s="44">
        <v>430541</v>
      </c>
      <c r="I44" s="44">
        <v>3086689</v>
      </c>
      <c r="J44" s="192">
        <v>684460</v>
      </c>
      <c r="K44" s="44">
        <v>4762859</v>
      </c>
      <c r="L44" s="44">
        <v>104966</v>
      </c>
      <c r="M44" s="44">
        <v>564228</v>
      </c>
      <c r="N44" s="44">
        <v>40739</v>
      </c>
      <c r="O44" s="44">
        <v>202377</v>
      </c>
      <c r="P44" s="44">
        <v>61683</v>
      </c>
      <c r="Q44" s="44" t="s">
        <v>348</v>
      </c>
      <c r="R44" s="44">
        <v>-46569</v>
      </c>
      <c r="S44" s="44">
        <v>-532360</v>
      </c>
      <c r="T44" s="44">
        <v>70844</v>
      </c>
      <c r="U44" s="44">
        <v>249615</v>
      </c>
      <c r="V44" s="44"/>
      <c r="W44" s="44"/>
      <c r="X44" s="44">
        <v>322139</v>
      </c>
      <c r="Y44" s="44">
        <v>770014</v>
      </c>
      <c r="Z44" s="44">
        <v>1734</v>
      </c>
      <c r="AA44" s="44">
        <v>7667</v>
      </c>
      <c r="AB44" s="44">
        <v>-1477007</v>
      </c>
      <c r="AC44" s="44">
        <v>-5127818</v>
      </c>
      <c r="AD44" s="44">
        <v>2175369</v>
      </c>
      <c r="AE44" s="44">
        <v>7403652</v>
      </c>
      <c r="AF44" s="44">
        <v>258043</v>
      </c>
      <c r="AG44" s="44">
        <v>634397</v>
      </c>
      <c r="AH44" s="44">
        <v>16911</v>
      </c>
      <c r="AI44" s="44">
        <v>38354</v>
      </c>
      <c r="AJ44" s="44">
        <v>45193</v>
      </c>
      <c r="AK44" s="44">
        <v>163099</v>
      </c>
      <c r="AL44" s="44">
        <v>-74981</v>
      </c>
      <c r="AM44" s="44">
        <v>-155288</v>
      </c>
      <c r="AN44" s="44">
        <v>610563</v>
      </c>
      <c r="AO44" s="44">
        <v>2095781</v>
      </c>
      <c r="AP44" s="44">
        <v>9624527.5586911999</v>
      </c>
      <c r="AQ44" s="44">
        <v>27459588.348570399</v>
      </c>
      <c r="AR44" s="44">
        <v>3006305</v>
      </c>
      <c r="AS44" s="44">
        <v>11243058</v>
      </c>
      <c r="AT44" s="44">
        <v>650760</v>
      </c>
      <c r="AU44" s="44">
        <v>2142966</v>
      </c>
      <c r="AV44" s="44">
        <v>17</v>
      </c>
      <c r="AW44" s="44">
        <v>50</v>
      </c>
      <c r="AX44" s="44">
        <v>135372</v>
      </c>
      <c r="AY44" s="44">
        <v>1659220</v>
      </c>
      <c r="AZ44" s="44">
        <v>12339</v>
      </c>
      <c r="BA44" s="44">
        <v>12612</v>
      </c>
      <c r="BB44" s="44">
        <v>1461068</v>
      </c>
      <c r="BC44" s="44">
        <v>5318752</v>
      </c>
      <c r="BD44" s="169">
        <v>-216318</v>
      </c>
      <c r="BE44" s="116">
        <v>-750305</v>
      </c>
      <c r="BF44" s="44">
        <v>116579</v>
      </c>
      <c r="BG44" s="44">
        <v>295563</v>
      </c>
      <c r="BH44" s="44">
        <v>1123</v>
      </c>
      <c r="BI44" s="44">
        <v>3075</v>
      </c>
      <c r="BJ44" s="44"/>
      <c r="BK44" s="44"/>
      <c r="BL44" s="44">
        <v>525528</v>
      </c>
      <c r="BM44" s="44">
        <v>2077036</v>
      </c>
      <c r="BN44" s="44">
        <v>1066135</v>
      </c>
      <c r="BO44" s="44">
        <v>3435394</v>
      </c>
      <c r="BP44" s="44">
        <v>30107</v>
      </c>
      <c r="BQ44" s="44">
        <v>96723</v>
      </c>
      <c r="BR44" s="44">
        <f t="shared" si="6"/>
        <v>19718191.5586912</v>
      </c>
      <c r="BS44" s="44">
        <f t="shared" si="6"/>
        <v>67633191.348570406</v>
      </c>
    </row>
    <row r="45" spans="1:71" x14ac:dyDescent="0.25">
      <c r="A45" s="44" t="s">
        <v>188</v>
      </c>
      <c r="B45" s="44">
        <v>120248</v>
      </c>
      <c r="C45" s="44">
        <v>286509</v>
      </c>
      <c r="D45" s="44">
        <v>1494923</v>
      </c>
      <c r="E45" s="44">
        <v>4003532</v>
      </c>
      <c r="F45" s="44"/>
      <c r="G45" s="44"/>
      <c r="H45" s="44">
        <v>8069428</v>
      </c>
      <c r="I45" s="44">
        <v>16788621</v>
      </c>
      <c r="J45" s="44">
        <v>4246023</v>
      </c>
      <c r="K45" s="44">
        <v>18605978</v>
      </c>
      <c r="L45" s="44">
        <v>557658</v>
      </c>
      <c r="M45" s="44">
        <v>2554035</v>
      </c>
      <c r="N45" s="44">
        <v>766392</v>
      </c>
      <c r="O45" s="44">
        <v>2534704</v>
      </c>
      <c r="P45" s="44">
        <v>1198633</v>
      </c>
      <c r="Q45" s="44">
        <v>4447446</v>
      </c>
      <c r="R45" s="44">
        <v>65878</v>
      </c>
      <c r="S45" s="44">
        <v>510217</v>
      </c>
      <c r="T45" s="44"/>
      <c r="U45" s="44"/>
      <c r="V45" s="44"/>
      <c r="W45" s="44"/>
      <c r="X45" s="44">
        <v>745018</v>
      </c>
      <c r="Y45" s="44">
        <v>2179321</v>
      </c>
      <c r="Z45" s="44">
        <v>32957</v>
      </c>
      <c r="AA45" s="44">
        <v>144861</v>
      </c>
      <c r="AB45" s="44">
        <v>1922618</v>
      </c>
      <c r="AC45" s="44">
        <v>7659390</v>
      </c>
      <c r="AD45" s="44">
        <v>4488446</v>
      </c>
      <c r="AE45" s="44">
        <v>16924685</v>
      </c>
      <c r="AF45" s="44">
        <v>2005121</v>
      </c>
      <c r="AG45" s="44">
        <v>7402383</v>
      </c>
      <c r="AH45" s="44">
        <v>211922</v>
      </c>
      <c r="AI45" s="44">
        <v>569263</v>
      </c>
      <c r="AJ45" s="44">
        <v>572941</v>
      </c>
      <c r="AK45" s="44">
        <v>1825052</v>
      </c>
      <c r="AL45" s="44">
        <v>605445</v>
      </c>
      <c r="AM45" s="44">
        <v>708029</v>
      </c>
      <c r="AN45" s="44">
        <v>2494417</v>
      </c>
      <c r="AO45" s="44">
        <v>7049128</v>
      </c>
      <c r="AP45" s="44">
        <v>9442930.717089396</v>
      </c>
      <c r="AQ45" s="44">
        <v>31511062.6030536</v>
      </c>
      <c r="AR45" s="44">
        <v>18302891</v>
      </c>
      <c r="AS45" s="44">
        <v>72722845</v>
      </c>
      <c r="AT45" s="44">
        <v>11720573</v>
      </c>
      <c r="AU45" s="44">
        <v>39010105</v>
      </c>
      <c r="AV45" s="44">
        <v>331</v>
      </c>
      <c r="AW45" s="44">
        <v>942</v>
      </c>
      <c r="AX45" s="44">
        <v>1659220</v>
      </c>
      <c r="AY45" s="44">
        <v>9614205</v>
      </c>
      <c r="AZ45" s="44">
        <v>23090</v>
      </c>
      <c r="BA45" s="44">
        <v>28283</v>
      </c>
      <c r="BB45" s="44">
        <v>3001875</v>
      </c>
      <c r="BC45" s="44">
        <v>10970478</v>
      </c>
      <c r="BD45" s="113">
        <v>780578</v>
      </c>
      <c r="BE45" s="51">
        <v>2828927</v>
      </c>
      <c r="BF45" s="44">
        <v>1446814</v>
      </c>
      <c r="BG45" s="44">
        <v>4847506</v>
      </c>
      <c r="BH45" s="44">
        <v>736</v>
      </c>
      <c r="BI45" s="44">
        <v>4821</v>
      </c>
      <c r="BJ45" s="44"/>
      <c r="BK45" s="44"/>
      <c r="BL45" s="44">
        <v>1505858</v>
      </c>
      <c r="BM45" s="44">
        <v>5927959</v>
      </c>
      <c r="BN45" s="44">
        <v>17225777</v>
      </c>
      <c r="BO45" s="44">
        <v>50217071</v>
      </c>
      <c r="BP45" s="44">
        <v>357026</v>
      </c>
      <c r="BQ45" s="44">
        <v>1253082</v>
      </c>
      <c r="BR45" s="44">
        <f t="shared" si="6"/>
        <v>95042677.7170894</v>
      </c>
      <c r="BS45" s="44">
        <f t="shared" si="6"/>
        <v>323102157.60305357</v>
      </c>
    </row>
    <row r="46" spans="1:71" x14ac:dyDescent="0.25">
      <c r="A46" s="44" t="s">
        <v>341</v>
      </c>
      <c r="B46" s="44">
        <v>120040</v>
      </c>
      <c r="C46" s="44">
        <v>283900</v>
      </c>
      <c r="D46" s="44">
        <v>1035080</v>
      </c>
      <c r="E46" s="44">
        <v>3085913</v>
      </c>
      <c r="F46" s="44"/>
      <c r="G46" s="44"/>
      <c r="H46" s="44">
        <v>6554534</v>
      </c>
      <c r="I46" s="44">
        <v>14994894</v>
      </c>
      <c r="J46" s="193">
        <v>4367463</v>
      </c>
      <c r="K46" s="44">
        <v>16658812</v>
      </c>
      <c r="L46" s="44">
        <v>695472</v>
      </c>
      <c r="M46" s="44">
        <v>2055683</v>
      </c>
      <c r="N46" s="44">
        <v>577770</v>
      </c>
      <c r="O46" s="44">
        <v>2317256</v>
      </c>
      <c r="P46" s="44">
        <v>1106747</v>
      </c>
      <c r="Q46" s="44">
        <v>3764014</v>
      </c>
      <c r="R46" s="44">
        <v>128876</v>
      </c>
      <c r="S46" s="44">
        <v>396088</v>
      </c>
      <c r="T46" s="44">
        <v>110768</v>
      </c>
      <c r="U46" s="44">
        <v>208167</v>
      </c>
      <c r="V46" s="44"/>
      <c r="W46" s="44"/>
      <c r="X46" s="44">
        <v>511366</v>
      </c>
      <c r="Y46" s="44">
        <v>1898662</v>
      </c>
      <c r="Z46" s="44">
        <v>33075</v>
      </c>
      <c r="AA46" s="44">
        <v>145215</v>
      </c>
      <c r="AB46" s="44">
        <v>1805627</v>
      </c>
      <c r="AC46" s="44">
        <v>6710341</v>
      </c>
      <c r="AD46" s="44">
        <v>3912726</v>
      </c>
      <c r="AE46" s="44">
        <v>15106415</v>
      </c>
      <c r="AF46" s="44">
        <v>1673248</v>
      </c>
      <c r="AG46" s="44">
        <v>7286091</v>
      </c>
      <c r="AH46" s="44">
        <v>109404</v>
      </c>
      <c r="AI46" s="44">
        <v>343347</v>
      </c>
      <c r="AJ46" s="44">
        <v>401978</v>
      </c>
      <c r="AK46" s="44">
        <v>1347843</v>
      </c>
      <c r="AL46" s="44">
        <v>459630</v>
      </c>
      <c r="AM46" s="44">
        <v>490941</v>
      </c>
      <c r="AN46" s="44">
        <v>2237799</v>
      </c>
      <c r="AO46" s="44">
        <v>6422923</v>
      </c>
      <c r="AP46" s="44">
        <v>9171140.7600893956</v>
      </c>
      <c r="AQ46" s="44">
        <v>33944380.6950536</v>
      </c>
      <c r="AR46" s="44">
        <v>18247862</v>
      </c>
      <c r="AS46" s="44">
        <v>69384056</v>
      </c>
      <c r="AT46" s="44">
        <v>10752360</v>
      </c>
      <c r="AU46" s="44">
        <v>36580821</v>
      </c>
      <c r="AV46" s="44">
        <v>240</v>
      </c>
      <c r="AW46" s="44">
        <v>827</v>
      </c>
      <c r="AX46" s="44">
        <v>2382148</v>
      </c>
      <c r="AY46" s="44">
        <v>8610637</v>
      </c>
      <c r="AZ46" s="44">
        <v>11113</v>
      </c>
      <c r="BA46" s="44">
        <v>13580</v>
      </c>
      <c r="BB46" s="44">
        <v>2789656</v>
      </c>
      <c r="BC46" s="44">
        <v>9401687</v>
      </c>
      <c r="BD46" s="113">
        <v>682773</v>
      </c>
      <c r="BE46" s="51">
        <v>2574104</v>
      </c>
      <c r="BF46" s="44">
        <v>1212113</v>
      </c>
      <c r="BG46" s="44">
        <v>4933305</v>
      </c>
      <c r="BH46" s="44">
        <v>587</v>
      </c>
      <c r="BI46" s="44">
        <v>3993</v>
      </c>
      <c r="BJ46" s="44"/>
      <c r="BK46" s="44"/>
      <c r="BL46" s="44">
        <v>1337095</v>
      </c>
      <c r="BM46" s="44">
        <v>5232994</v>
      </c>
      <c r="BN46" s="44">
        <v>14480725</v>
      </c>
      <c r="BO46" s="44">
        <v>45369973</v>
      </c>
      <c r="BP46" s="44">
        <v>298090</v>
      </c>
      <c r="BQ46" s="44">
        <v>1064711</v>
      </c>
      <c r="BR46" s="44">
        <f t="shared" si="6"/>
        <v>87196392.760089397</v>
      </c>
      <c r="BS46" s="44">
        <f t="shared" si="6"/>
        <v>300617993.69505358</v>
      </c>
    </row>
    <row r="48" spans="1:71" s="8" customFormat="1" x14ac:dyDescent="0.25">
      <c r="A48" s="7" t="s">
        <v>144</v>
      </c>
    </row>
    <row r="49" spans="1:71" s="15" customFormat="1" x14ac:dyDescent="0.25">
      <c r="A49" s="23" t="s">
        <v>0</v>
      </c>
      <c r="B49" s="200" t="s">
        <v>1</v>
      </c>
      <c r="C49" s="200"/>
      <c r="D49" s="200" t="s">
        <v>2</v>
      </c>
      <c r="E49" s="200"/>
      <c r="F49" s="200" t="s">
        <v>3</v>
      </c>
      <c r="G49" s="200"/>
      <c r="H49" s="200" t="s">
        <v>4</v>
      </c>
      <c r="I49" s="200"/>
      <c r="J49" s="200" t="s">
        <v>5</v>
      </c>
      <c r="K49" s="200"/>
      <c r="L49" s="200" t="s">
        <v>6</v>
      </c>
      <c r="M49" s="200"/>
      <c r="N49" s="200" t="s">
        <v>7</v>
      </c>
      <c r="O49" s="200"/>
      <c r="P49" s="200" t="s">
        <v>8</v>
      </c>
      <c r="Q49" s="200"/>
      <c r="R49" s="200" t="s">
        <v>9</v>
      </c>
      <c r="S49" s="200"/>
      <c r="T49" s="200" t="s">
        <v>10</v>
      </c>
      <c r="U49" s="200"/>
      <c r="V49" s="200" t="s">
        <v>11</v>
      </c>
      <c r="W49" s="200"/>
      <c r="X49" s="200" t="s">
        <v>12</v>
      </c>
      <c r="Y49" s="200"/>
      <c r="Z49" s="200" t="s">
        <v>13</v>
      </c>
      <c r="AA49" s="200"/>
      <c r="AB49" s="200" t="s">
        <v>14</v>
      </c>
      <c r="AC49" s="200"/>
      <c r="AD49" s="200" t="s">
        <v>15</v>
      </c>
      <c r="AE49" s="200"/>
      <c r="AF49" s="200" t="s">
        <v>16</v>
      </c>
      <c r="AG49" s="200"/>
      <c r="AH49" s="200" t="s">
        <v>17</v>
      </c>
      <c r="AI49" s="200"/>
      <c r="AJ49" s="200" t="s">
        <v>18</v>
      </c>
      <c r="AK49" s="200"/>
      <c r="AL49" s="200" t="s">
        <v>19</v>
      </c>
      <c r="AM49" s="200"/>
      <c r="AN49" s="200" t="s">
        <v>20</v>
      </c>
      <c r="AO49" s="200"/>
      <c r="AP49" s="200" t="s">
        <v>21</v>
      </c>
      <c r="AQ49" s="200"/>
      <c r="AR49" s="200" t="s">
        <v>147</v>
      </c>
      <c r="AS49" s="200"/>
      <c r="AT49" s="200" t="s">
        <v>148</v>
      </c>
      <c r="AU49" s="200"/>
      <c r="AV49" s="200" t="s">
        <v>22</v>
      </c>
      <c r="AW49" s="200"/>
      <c r="AX49" s="200" t="s">
        <v>23</v>
      </c>
      <c r="AY49" s="200"/>
      <c r="AZ49" s="200" t="s">
        <v>332</v>
      </c>
      <c r="BA49" s="200"/>
      <c r="BB49" s="200" t="s">
        <v>24</v>
      </c>
      <c r="BC49" s="200"/>
      <c r="BD49" s="200" t="s">
        <v>25</v>
      </c>
      <c r="BE49" s="200"/>
      <c r="BF49" s="200" t="s">
        <v>26</v>
      </c>
      <c r="BG49" s="200"/>
      <c r="BH49" s="200" t="s">
        <v>27</v>
      </c>
      <c r="BI49" s="200"/>
      <c r="BJ49" s="200" t="s">
        <v>28</v>
      </c>
      <c r="BK49" s="200"/>
      <c r="BL49" s="200" t="s">
        <v>29</v>
      </c>
      <c r="BM49" s="200"/>
      <c r="BN49" s="200" t="s">
        <v>30</v>
      </c>
      <c r="BO49" s="200"/>
      <c r="BP49" s="200" t="s">
        <v>31</v>
      </c>
      <c r="BQ49" s="200"/>
      <c r="BR49" s="200" t="s">
        <v>250</v>
      </c>
      <c r="BS49" s="200"/>
    </row>
    <row r="50" spans="1:71" s="42" customFormat="1" ht="44.25" customHeight="1" x14ac:dyDescent="0.25">
      <c r="A50" s="43"/>
      <c r="B50" s="43" t="s">
        <v>321</v>
      </c>
      <c r="C50" s="43" t="s">
        <v>322</v>
      </c>
      <c r="D50" s="43" t="s">
        <v>321</v>
      </c>
      <c r="E50" s="43" t="s">
        <v>322</v>
      </c>
      <c r="F50" s="43" t="s">
        <v>321</v>
      </c>
      <c r="G50" s="43" t="s">
        <v>322</v>
      </c>
      <c r="H50" s="43" t="s">
        <v>321</v>
      </c>
      <c r="I50" s="43" t="s">
        <v>322</v>
      </c>
      <c r="J50" s="43" t="s">
        <v>321</v>
      </c>
      <c r="K50" s="43" t="s">
        <v>322</v>
      </c>
      <c r="L50" s="43" t="s">
        <v>321</v>
      </c>
      <c r="M50" s="43" t="s">
        <v>322</v>
      </c>
      <c r="N50" s="43" t="s">
        <v>321</v>
      </c>
      <c r="O50" s="43" t="s">
        <v>322</v>
      </c>
      <c r="P50" s="43" t="s">
        <v>321</v>
      </c>
      <c r="Q50" s="43" t="s">
        <v>322</v>
      </c>
      <c r="R50" s="43" t="s">
        <v>321</v>
      </c>
      <c r="S50" s="43" t="s">
        <v>322</v>
      </c>
      <c r="T50" s="43" t="s">
        <v>321</v>
      </c>
      <c r="U50" s="43" t="s">
        <v>322</v>
      </c>
      <c r="V50" s="43" t="s">
        <v>321</v>
      </c>
      <c r="W50" s="43" t="s">
        <v>322</v>
      </c>
      <c r="X50" s="43" t="s">
        <v>321</v>
      </c>
      <c r="Y50" s="43" t="s">
        <v>322</v>
      </c>
      <c r="Z50" s="43" t="s">
        <v>321</v>
      </c>
      <c r="AA50" s="43" t="s">
        <v>322</v>
      </c>
      <c r="AB50" s="43" t="s">
        <v>321</v>
      </c>
      <c r="AC50" s="43" t="s">
        <v>322</v>
      </c>
      <c r="AD50" s="43" t="s">
        <v>321</v>
      </c>
      <c r="AE50" s="43" t="s">
        <v>322</v>
      </c>
      <c r="AF50" s="43" t="s">
        <v>321</v>
      </c>
      <c r="AG50" s="43" t="s">
        <v>322</v>
      </c>
      <c r="AH50" s="43" t="s">
        <v>321</v>
      </c>
      <c r="AI50" s="43" t="s">
        <v>322</v>
      </c>
      <c r="AJ50" s="43" t="s">
        <v>321</v>
      </c>
      <c r="AK50" s="43" t="s">
        <v>322</v>
      </c>
      <c r="AL50" s="43" t="s">
        <v>321</v>
      </c>
      <c r="AM50" s="43" t="s">
        <v>322</v>
      </c>
      <c r="AN50" s="43" t="s">
        <v>321</v>
      </c>
      <c r="AO50" s="43" t="s">
        <v>322</v>
      </c>
      <c r="AP50" s="43" t="s">
        <v>321</v>
      </c>
      <c r="AQ50" s="43" t="s">
        <v>322</v>
      </c>
      <c r="AR50" s="43" t="s">
        <v>321</v>
      </c>
      <c r="AS50" s="43" t="s">
        <v>322</v>
      </c>
      <c r="AT50" s="43" t="s">
        <v>321</v>
      </c>
      <c r="AU50" s="43" t="s">
        <v>322</v>
      </c>
      <c r="AV50" s="43" t="s">
        <v>321</v>
      </c>
      <c r="AW50" s="43" t="s">
        <v>322</v>
      </c>
      <c r="AX50" s="43" t="s">
        <v>321</v>
      </c>
      <c r="AY50" s="43" t="s">
        <v>322</v>
      </c>
      <c r="AZ50" s="43" t="s">
        <v>321</v>
      </c>
      <c r="BA50" s="43" t="s">
        <v>322</v>
      </c>
      <c r="BB50" s="43" t="s">
        <v>321</v>
      </c>
      <c r="BC50" s="43" t="s">
        <v>322</v>
      </c>
      <c r="BD50" s="43" t="s">
        <v>321</v>
      </c>
      <c r="BE50" s="43" t="s">
        <v>322</v>
      </c>
      <c r="BF50" s="43" t="s">
        <v>321</v>
      </c>
      <c r="BG50" s="43" t="s">
        <v>322</v>
      </c>
      <c r="BH50" s="43" t="s">
        <v>321</v>
      </c>
      <c r="BI50" s="43" t="s">
        <v>322</v>
      </c>
      <c r="BJ50" s="43" t="s">
        <v>321</v>
      </c>
      <c r="BK50" s="43" t="s">
        <v>322</v>
      </c>
      <c r="BL50" s="43" t="s">
        <v>321</v>
      </c>
      <c r="BM50" s="43" t="s">
        <v>322</v>
      </c>
      <c r="BN50" s="43" t="s">
        <v>321</v>
      </c>
      <c r="BO50" s="43" t="s">
        <v>322</v>
      </c>
      <c r="BP50" s="43" t="s">
        <v>321</v>
      </c>
      <c r="BQ50" s="43" t="s">
        <v>322</v>
      </c>
      <c r="BR50" s="43" t="s">
        <v>321</v>
      </c>
      <c r="BS50" s="43" t="s">
        <v>322</v>
      </c>
    </row>
    <row r="51" spans="1:71" x14ac:dyDescent="0.25">
      <c r="A51" s="44" t="s">
        <v>338</v>
      </c>
      <c r="B51" s="44">
        <v>9393</v>
      </c>
      <c r="C51" s="44">
        <v>13021</v>
      </c>
      <c r="D51" s="44">
        <v>231728</v>
      </c>
      <c r="E51" s="44">
        <v>733721</v>
      </c>
      <c r="F51" s="44"/>
      <c r="G51" s="44"/>
      <c r="H51" s="44">
        <v>501959</v>
      </c>
      <c r="I51" s="44">
        <v>1794990</v>
      </c>
      <c r="J51" s="44">
        <v>756689</v>
      </c>
      <c r="K51" s="44">
        <v>2601422</v>
      </c>
      <c r="L51" s="44">
        <v>51016</v>
      </c>
      <c r="M51" s="44">
        <v>218735</v>
      </c>
      <c r="N51" s="44">
        <v>727418</v>
      </c>
      <c r="O51" s="44">
        <v>2849488</v>
      </c>
      <c r="P51" s="44">
        <v>28308</v>
      </c>
      <c r="Q51" s="44">
        <v>153411</v>
      </c>
      <c r="R51" s="44">
        <v>9285</v>
      </c>
      <c r="S51" s="44">
        <v>217560</v>
      </c>
      <c r="T51" s="44">
        <v>-6</v>
      </c>
      <c r="U51" s="44">
        <v>2920</v>
      </c>
      <c r="V51" s="44"/>
      <c r="W51" s="44"/>
      <c r="X51" s="44">
        <v>195858</v>
      </c>
      <c r="Y51" s="44">
        <v>651349</v>
      </c>
      <c r="Z51" s="44">
        <v>1046</v>
      </c>
      <c r="AA51" s="44">
        <v>1046</v>
      </c>
      <c r="AB51" s="44">
        <v>1603220</v>
      </c>
      <c r="AC51" s="44">
        <v>6944603</v>
      </c>
      <c r="AD51" s="44">
        <v>1269366</v>
      </c>
      <c r="AE51" s="44">
        <v>5291546</v>
      </c>
      <c r="AF51" s="44">
        <v>175402</v>
      </c>
      <c r="AG51" s="44">
        <v>1250304</v>
      </c>
      <c r="AH51" s="44">
        <v>75928</v>
      </c>
      <c r="AI51" s="44">
        <v>149791</v>
      </c>
      <c r="AJ51" s="44">
        <v>53035</v>
      </c>
      <c r="AK51" s="44">
        <v>184526</v>
      </c>
      <c r="AL51" s="44">
        <v>11210</v>
      </c>
      <c r="AM51" s="44">
        <v>38509</v>
      </c>
      <c r="AN51" s="44">
        <v>97977</v>
      </c>
      <c r="AO51" s="44">
        <v>325248</v>
      </c>
      <c r="AP51" s="44">
        <v>404736.83499999996</v>
      </c>
      <c r="AQ51" s="44">
        <v>1660893.142</v>
      </c>
      <c r="AR51" s="44">
        <v>1849008</v>
      </c>
      <c r="AS51" s="44">
        <v>5463741</v>
      </c>
      <c r="AT51" s="44">
        <v>2257345</v>
      </c>
      <c r="AU51" s="44">
        <v>6257375</v>
      </c>
      <c r="AV51" s="44">
        <v>977</v>
      </c>
      <c r="AW51" s="44">
        <v>3218</v>
      </c>
      <c r="AX51" s="44">
        <v>118879</v>
      </c>
      <c r="AY51" s="44">
        <v>114043</v>
      </c>
      <c r="AZ51" s="44"/>
      <c r="BA51" s="44"/>
      <c r="BB51" s="44">
        <v>408758</v>
      </c>
      <c r="BC51" s="44">
        <v>1442486</v>
      </c>
      <c r="BD51" s="116">
        <v>137945</v>
      </c>
      <c r="BE51" s="116">
        <v>581512</v>
      </c>
      <c r="BF51" s="44">
        <v>2264378</v>
      </c>
      <c r="BG51" s="44">
        <v>6092044</v>
      </c>
      <c r="BH51" s="44">
        <v>81985</v>
      </c>
      <c r="BI51" s="44">
        <v>376877</v>
      </c>
      <c r="BJ51" s="44"/>
      <c r="BK51" s="44"/>
      <c r="BL51" s="44">
        <v>849610</v>
      </c>
      <c r="BM51" s="44">
        <v>3189092</v>
      </c>
      <c r="BN51" s="44">
        <v>1854907</v>
      </c>
      <c r="BO51" s="44">
        <v>4365245</v>
      </c>
      <c r="BP51" s="44">
        <v>40337</v>
      </c>
      <c r="BQ51" s="44">
        <v>380971</v>
      </c>
      <c r="BR51" s="44">
        <f t="shared" ref="BR51:BS55" si="7">B51+D51+F51+H51+J51+L51+N51+P51+R51+T51+V51+X51+Z51+AB51+AD51+AF51+AH51+AJ51+AL51+AN51+AP51+AR51+AT51+AV51+AX51+BB51+BD51+BF51+BH51+BJ51+BL51+BN51+BP51</f>
        <v>16067697.835000001</v>
      </c>
      <c r="BS51" s="44">
        <f t="shared" si="7"/>
        <v>53349687.142000005</v>
      </c>
    </row>
    <row r="52" spans="1:71" x14ac:dyDescent="0.25">
      <c r="A52" s="44" t="s">
        <v>339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>
        <v>48</v>
      </c>
      <c r="U52" s="44">
        <v>24537</v>
      </c>
      <c r="V52" s="44"/>
      <c r="W52" s="44"/>
      <c r="X52" s="44"/>
      <c r="Y52" s="44">
        <v>264</v>
      </c>
      <c r="Z52" s="44"/>
      <c r="AA52" s="44"/>
      <c r="AB52" s="44">
        <v>-3592</v>
      </c>
      <c r="AC52" s="44">
        <v>19958</v>
      </c>
      <c r="AD52" s="44">
        <v>6151</v>
      </c>
      <c r="AE52" s="44">
        <v>26698</v>
      </c>
      <c r="AF52" s="44"/>
      <c r="AG52" s="44"/>
      <c r="AH52" s="44"/>
      <c r="AI52" s="44"/>
      <c r="AJ52" s="44">
        <v>177</v>
      </c>
      <c r="AK52" s="44">
        <v>13730</v>
      </c>
      <c r="AL52" s="44">
        <v>759</v>
      </c>
      <c r="AM52" s="44">
        <v>46733</v>
      </c>
      <c r="AN52" s="44"/>
      <c r="AO52" s="44"/>
      <c r="AP52" s="44">
        <v>0</v>
      </c>
      <c r="AQ52" s="44">
        <v>0</v>
      </c>
      <c r="AR52" s="44">
        <v>56940</v>
      </c>
      <c r="AS52" s="44">
        <v>74967</v>
      </c>
      <c r="AT52" s="44">
        <v>102</v>
      </c>
      <c r="AU52" s="44">
        <v>127</v>
      </c>
      <c r="AV52" s="44"/>
      <c r="AW52" s="44"/>
      <c r="AX52" s="44"/>
      <c r="AY52" s="44"/>
      <c r="AZ52" s="44"/>
      <c r="BA52" s="44"/>
      <c r="BB52" s="44"/>
      <c r="BC52" s="44"/>
      <c r="BD52" s="169">
        <v>1587</v>
      </c>
      <c r="BE52" s="116">
        <v>49050</v>
      </c>
      <c r="BF52" s="44"/>
      <c r="BG52" s="44"/>
      <c r="BH52" s="44"/>
      <c r="BI52" s="44"/>
      <c r="BJ52" s="44"/>
      <c r="BK52" s="44"/>
      <c r="BL52" s="44">
        <v>7963</v>
      </c>
      <c r="BM52" s="44">
        <v>7963</v>
      </c>
      <c r="BN52" s="44">
        <v>0</v>
      </c>
      <c r="BO52" s="44">
        <v>2</v>
      </c>
      <c r="BP52" s="44"/>
      <c r="BQ52" s="44"/>
      <c r="BR52" s="44">
        <f t="shared" si="7"/>
        <v>70135</v>
      </c>
      <c r="BS52" s="44">
        <f t="shared" si="7"/>
        <v>264029</v>
      </c>
    </row>
    <row r="53" spans="1:71" x14ac:dyDescent="0.25">
      <c r="A53" s="44" t="s">
        <v>340</v>
      </c>
      <c r="B53" s="44">
        <v>469</v>
      </c>
      <c r="C53" s="44">
        <v>651</v>
      </c>
      <c r="D53" s="44">
        <v>13986</v>
      </c>
      <c r="E53" s="44">
        <v>48625</v>
      </c>
      <c r="F53" s="44"/>
      <c r="G53" s="44"/>
      <c r="H53" s="44">
        <v>84257</v>
      </c>
      <c r="I53" s="44">
        <v>253206</v>
      </c>
      <c r="J53" s="44">
        <v>53457</v>
      </c>
      <c r="K53" s="44">
        <v>201530</v>
      </c>
      <c r="L53" s="44">
        <v>3197</v>
      </c>
      <c r="M53" s="44">
        <v>14048</v>
      </c>
      <c r="N53" s="44">
        <v>39950</v>
      </c>
      <c r="O53" s="44">
        <v>252810</v>
      </c>
      <c r="P53" s="44">
        <v>2110</v>
      </c>
      <c r="Q53" s="44">
        <v>15643</v>
      </c>
      <c r="R53" s="44">
        <v>-6862</v>
      </c>
      <c r="S53" s="44">
        <v>-124068</v>
      </c>
      <c r="T53" s="44">
        <v>1631</v>
      </c>
      <c r="U53" s="44">
        <v>4469</v>
      </c>
      <c r="V53" s="44"/>
      <c r="W53" s="44"/>
      <c r="X53" s="44">
        <v>28542</v>
      </c>
      <c r="Y53" s="44">
        <v>96687</v>
      </c>
      <c r="Z53" s="44">
        <v>52</v>
      </c>
      <c r="AA53" s="44">
        <v>52</v>
      </c>
      <c r="AB53" s="44">
        <v>-478231</v>
      </c>
      <c r="AC53" s="44">
        <v>-2112010</v>
      </c>
      <c r="AD53" s="44">
        <v>196655</v>
      </c>
      <c r="AE53" s="44">
        <v>975839</v>
      </c>
      <c r="AF53" s="44">
        <v>42291</v>
      </c>
      <c r="AG53" s="44">
        <v>238109</v>
      </c>
      <c r="AH53" s="44">
        <v>43856</v>
      </c>
      <c r="AI53" s="44">
        <v>89238</v>
      </c>
      <c r="AJ53" s="44">
        <v>2294</v>
      </c>
      <c r="AK53" s="44">
        <v>197057</v>
      </c>
      <c r="AL53" s="44">
        <v>-6747</v>
      </c>
      <c r="AM53" s="44">
        <v>-25195</v>
      </c>
      <c r="AN53" s="44">
        <v>24879</v>
      </c>
      <c r="AO53" s="44">
        <v>60397</v>
      </c>
      <c r="AP53" s="44">
        <v>20236.873999999996</v>
      </c>
      <c r="AQ53" s="44">
        <v>83044.688999999998</v>
      </c>
      <c r="AR53" s="44">
        <v>96982</v>
      </c>
      <c r="AS53" s="44">
        <v>284432</v>
      </c>
      <c r="AT53" s="44">
        <v>103368</v>
      </c>
      <c r="AU53" s="44">
        <v>693684</v>
      </c>
      <c r="AV53" s="44">
        <v>784</v>
      </c>
      <c r="AW53" s="44">
        <v>2581</v>
      </c>
      <c r="AX53" s="44">
        <v>2516</v>
      </c>
      <c r="AY53" s="44">
        <v>116363</v>
      </c>
      <c r="AZ53" s="44"/>
      <c r="BA53" s="44"/>
      <c r="BB53" s="44">
        <v>72258</v>
      </c>
      <c r="BC53" s="44">
        <v>258499</v>
      </c>
      <c r="BD53" s="169">
        <v>-16560</v>
      </c>
      <c r="BE53" s="116">
        <v>-109170</v>
      </c>
      <c r="BF53" s="44">
        <v>122548</v>
      </c>
      <c r="BG53" s="44">
        <v>324337</v>
      </c>
      <c r="BH53" s="44">
        <v>69711</v>
      </c>
      <c r="BI53" s="44">
        <v>334020</v>
      </c>
      <c r="BJ53" s="44"/>
      <c r="BK53" s="44"/>
      <c r="BL53" s="44">
        <v>484009</v>
      </c>
      <c r="BM53" s="44">
        <v>1653879</v>
      </c>
      <c r="BN53" s="44">
        <v>946303</v>
      </c>
      <c r="BO53" s="44">
        <v>1234807</v>
      </c>
      <c r="BP53" s="44">
        <v>15025</v>
      </c>
      <c r="BQ53" s="44">
        <v>106021</v>
      </c>
      <c r="BR53" s="44">
        <f t="shared" si="7"/>
        <v>1962966.8740000001</v>
      </c>
      <c r="BS53" s="44">
        <f t="shared" si="7"/>
        <v>5169585.6890000002</v>
      </c>
    </row>
    <row r="54" spans="1:71" x14ac:dyDescent="0.25">
      <c r="A54" s="44" t="s">
        <v>188</v>
      </c>
      <c r="B54" s="44">
        <v>8924</v>
      </c>
      <c r="C54" s="44">
        <v>12370</v>
      </c>
      <c r="D54" s="44">
        <v>217742</v>
      </c>
      <c r="E54" s="44">
        <v>685096</v>
      </c>
      <c r="F54" s="44"/>
      <c r="G54" s="44"/>
      <c r="H54" s="44">
        <v>417702</v>
      </c>
      <c r="I54" s="44">
        <v>1541784</v>
      </c>
      <c r="J54" s="193">
        <v>703232</v>
      </c>
      <c r="K54" s="44">
        <v>2399892</v>
      </c>
      <c r="L54" s="44">
        <v>47818</v>
      </c>
      <c r="M54" s="44">
        <v>204687</v>
      </c>
      <c r="N54" s="44">
        <v>687468</v>
      </c>
      <c r="O54" s="44">
        <v>2596678</v>
      </c>
      <c r="P54" s="44">
        <v>26199</v>
      </c>
      <c r="Q54" s="44">
        <v>137768</v>
      </c>
      <c r="R54" s="44">
        <v>2423</v>
      </c>
      <c r="S54" s="44">
        <v>93492</v>
      </c>
      <c r="T54" s="44"/>
      <c r="U54" s="44"/>
      <c r="V54" s="44"/>
      <c r="W54" s="44"/>
      <c r="X54" s="44">
        <v>167316</v>
      </c>
      <c r="Y54" s="44">
        <v>554926</v>
      </c>
      <c r="Z54" s="44">
        <v>994</v>
      </c>
      <c r="AA54" s="44">
        <v>994</v>
      </c>
      <c r="AB54" s="44">
        <v>1121398</v>
      </c>
      <c r="AC54" s="44">
        <v>4852551</v>
      </c>
      <c r="AD54" s="44">
        <v>1078862</v>
      </c>
      <c r="AE54" s="44">
        <v>4342405</v>
      </c>
      <c r="AF54" s="44">
        <v>133111</v>
      </c>
      <c r="AG54" s="44">
        <v>1012195</v>
      </c>
      <c r="AH54" s="44">
        <v>32072</v>
      </c>
      <c r="AI54" s="44">
        <v>60553</v>
      </c>
      <c r="AJ54" s="44">
        <v>50918</v>
      </c>
      <c r="AK54" s="44">
        <v>180805</v>
      </c>
      <c r="AL54" s="44">
        <v>5222</v>
      </c>
      <c r="AM54" s="44">
        <v>60047</v>
      </c>
      <c r="AN54" s="44">
        <v>73098</v>
      </c>
      <c r="AO54" s="44">
        <v>264851</v>
      </c>
      <c r="AP54" s="44">
        <v>384499.96099999995</v>
      </c>
      <c r="AQ54" s="44">
        <v>1577848.453</v>
      </c>
      <c r="AR54" s="44">
        <v>1808967</v>
      </c>
      <c r="AS54" s="44">
        <v>5254276</v>
      </c>
      <c r="AT54" s="44">
        <v>2154079</v>
      </c>
      <c r="AU54" s="44">
        <v>5563818</v>
      </c>
      <c r="AV54" s="44">
        <v>193</v>
      </c>
      <c r="AW54" s="44">
        <v>637</v>
      </c>
      <c r="AX54" s="44">
        <v>1659220</v>
      </c>
      <c r="AY54" s="44">
        <v>9614205</v>
      </c>
      <c r="AZ54" s="44"/>
      <c r="BA54" s="44"/>
      <c r="BB54" s="44">
        <v>336500</v>
      </c>
      <c r="BC54" s="44">
        <v>1183987</v>
      </c>
      <c r="BD54" s="51">
        <v>122972</v>
      </c>
      <c r="BE54" s="51">
        <v>521392</v>
      </c>
      <c r="BF54" s="44">
        <v>2141830</v>
      </c>
      <c r="BG54" s="44">
        <v>5767707</v>
      </c>
      <c r="BH54" s="44">
        <v>12274</v>
      </c>
      <c r="BI54" s="44">
        <v>42857</v>
      </c>
      <c r="BJ54" s="44"/>
      <c r="BK54" s="44"/>
      <c r="BL54" s="44">
        <v>373564</v>
      </c>
      <c r="BM54" s="44">
        <v>1543176</v>
      </c>
      <c r="BN54" s="44">
        <v>908604</v>
      </c>
      <c r="BO54" s="44">
        <v>3130440</v>
      </c>
      <c r="BP54" s="44">
        <v>25312</v>
      </c>
      <c r="BQ54" s="44">
        <v>274950</v>
      </c>
      <c r="BR54" s="44">
        <f t="shared" si="7"/>
        <v>14702513.960999999</v>
      </c>
      <c r="BS54" s="44">
        <f t="shared" si="7"/>
        <v>53476387.453000002</v>
      </c>
    </row>
    <row r="55" spans="1:71" x14ac:dyDescent="0.25">
      <c r="A55" s="44" t="s">
        <v>341</v>
      </c>
      <c r="B55" s="44">
        <v>8811</v>
      </c>
      <c r="C55" s="44">
        <v>11451</v>
      </c>
      <c r="D55" s="44">
        <v>148584</v>
      </c>
      <c r="E55" s="44">
        <v>396367</v>
      </c>
      <c r="F55" s="44"/>
      <c r="G55" s="44"/>
      <c r="H55" s="44">
        <v>426919</v>
      </c>
      <c r="I55" s="44">
        <v>1491595</v>
      </c>
      <c r="J55" s="194">
        <v>555944</v>
      </c>
      <c r="K55" s="44">
        <v>2000010</v>
      </c>
      <c r="L55" s="44">
        <v>46996</v>
      </c>
      <c r="M55" s="44">
        <v>170302</v>
      </c>
      <c r="N55" s="44">
        <v>527268</v>
      </c>
      <c r="O55" s="44">
        <v>1967703</v>
      </c>
      <c r="P55" s="44">
        <v>39142</v>
      </c>
      <c r="Q55" s="44">
        <v>158028</v>
      </c>
      <c r="R55" s="44">
        <v>18994</v>
      </c>
      <c r="S55" s="44">
        <v>73464</v>
      </c>
      <c r="T55" s="44">
        <v>4595</v>
      </c>
      <c r="U55" s="44">
        <v>19495</v>
      </c>
      <c r="V55" s="44"/>
      <c r="W55" s="44"/>
      <c r="X55" s="44">
        <v>131596</v>
      </c>
      <c r="Y55" s="44">
        <v>482454</v>
      </c>
      <c r="Z55" s="44">
        <v>47</v>
      </c>
      <c r="AA55" s="44">
        <v>47</v>
      </c>
      <c r="AB55" s="44">
        <v>995599</v>
      </c>
      <c r="AC55" s="44">
        <v>3821350</v>
      </c>
      <c r="AD55" s="44">
        <v>882810</v>
      </c>
      <c r="AE55" s="44">
        <v>3163460</v>
      </c>
      <c r="AF55" s="44">
        <v>145963</v>
      </c>
      <c r="AG55" s="44">
        <v>1100448</v>
      </c>
      <c r="AH55" s="44">
        <v>13386</v>
      </c>
      <c r="AI55" s="44">
        <v>33664</v>
      </c>
      <c r="AJ55" s="44">
        <v>43406</v>
      </c>
      <c r="AK55" s="44">
        <v>162529</v>
      </c>
      <c r="AL55" s="44">
        <v>16519</v>
      </c>
      <c r="AM55" s="44">
        <v>57039</v>
      </c>
      <c r="AN55" s="44">
        <v>52102</v>
      </c>
      <c r="AO55" s="44">
        <v>171865</v>
      </c>
      <c r="AP55" s="44">
        <v>771338.43799999985</v>
      </c>
      <c r="AQ55" s="44">
        <v>2272960.2390000001</v>
      </c>
      <c r="AR55" s="44">
        <v>1575198</v>
      </c>
      <c r="AS55" s="44">
        <v>5096956</v>
      </c>
      <c r="AT55" s="44">
        <v>1896521</v>
      </c>
      <c r="AU55" s="44">
        <v>5292520</v>
      </c>
      <c r="AV55" s="44">
        <v>143</v>
      </c>
      <c r="AW55" s="44">
        <v>434</v>
      </c>
      <c r="AX55" s="44">
        <v>2382148</v>
      </c>
      <c r="AY55" s="44">
        <v>8610637</v>
      </c>
      <c r="AZ55" s="44"/>
      <c r="BA55" s="44"/>
      <c r="BB55" s="44">
        <v>317386</v>
      </c>
      <c r="BC55" s="44">
        <v>1015528</v>
      </c>
      <c r="BD55" s="51">
        <v>120777</v>
      </c>
      <c r="BE55" s="51">
        <v>490905</v>
      </c>
      <c r="BF55" s="44">
        <v>1343016</v>
      </c>
      <c r="BG55" s="44">
        <v>4853357</v>
      </c>
      <c r="BH55" s="44">
        <v>11029</v>
      </c>
      <c r="BI55" s="44">
        <v>31675</v>
      </c>
      <c r="BJ55" s="44"/>
      <c r="BK55" s="44"/>
      <c r="BL55" s="44">
        <v>380579</v>
      </c>
      <c r="BM55" s="44">
        <v>1424178</v>
      </c>
      <c r="BN55" s="44">
        <v>721354</v>
      </c>
      <c r="BO55" s="44">
        <v>2594066</v>
      </c>
      <c r="BP55" s="44">
        <v>80087</v>
      </c>
      <c r="BQ55" s="44">
        <v>269287</v>
      </c>
      <c r="BR55" s="44">
        <f t="shared" si="7"/>
        <v>13658257.438000001</v>
      </c>
      <c r="BS55" s="44">
        <f t="shared" si="7"/>
        <v>47233774.239</v>
      </c>
    </row>
    <row r="56" spans="1:71" s="5" customFormat="1" x14ac:dyDescent="0.25">
      <c r="A56" s="9"/>
    </row>
    <row r="57" spans="1:71" s="5" customFormat="1" x14ac:dyDescent="0.25">
      <c r="A57" s="7" t="s">
        <v>205</v>
      </c>
    </row>
    <row r="58" spans="1:71" s="15" customFormat="1" x14ac:dyDescent="0.25">
      <c r="A58" s="23" t="s">
        <v>0</v>
      </c>
      <c r="B58" s="200" t="s">
        <v>1</v>
      </c>
      <c r="C58" s="200"/>
      <c r="D58" s="200" t="s">
        <v>2</v>
      </c>
      <c r="E58" s="200"/>
      <c r="F58" s="200" t="s">
        <v>3</v>
      </c>
      <c r="G58" s="200"/>
      <c r="H58" s="200" t="s">
        <v>4</v>
      </c>
      <c r="I58" s="200"/>
      <c r="J58" s="200" t="s">
        <v>5</v>
      </c>
      <c r="K58" s="200"/>
      <c r="L58" s="200" t="s">
        <v>6</v>
      </c>
      <c r="M58" s="200"/>
      <c r="N58" s="200" t="s">
        <v>7</v>
      </c>
      <c r="O58" s="200"/>
      <c r="P58" s="200" t="s">
        <v>8</v>
      </c>
      <c r="Q58" s="200"/>
      <c r="R58" s="200" t="s">
        <v>9</v>
      </c>
      <c r="S58" s="200"/>
      <c r="T58" s="200" t="s">
        <v>10</v>
      </c>
      <c r="U58" s="200"/>
      <c r="V58" s="200" t="s">
        <v>11</v>
      </c>
      <c r="W58" s="200"/>
      <c r="X58" s="200" t="s">
        <v>12</v>
      </c>
      <c r="Y58" s="200"/>
      <c r="Z58" s="200" t="s">
        <v>13</v>
      </c>
      <c r="AA58" s="200"/>
      <c r="AB58" s="200" t="s">
        <v>14</v>
      </c>
      <c r="AC58" s="200"/>
      <c r="AD58" s="200" t="s">
        <v>15</v>
      </c>
      <c r="AE58" s="200"/>
      <c r="AF58" s="200" t="s">
        <v>16</v>
      </c>
      <c r="AG58" s="200"/>
      <c r="AH58" s="200" t="s">
        <v>17</v>
      </c>
      <c r="AI58" s="200"/>
      <c r="AJ58" s="200" t="s">
        <v>18</v>
      </c>
      <c r="AK58" s="200"/>
      <c r="AL58" s="200" t="s">
        <v>19</v>
      </c>
      <c r="AM58" s="200"/>
      <c r="AN58" s="200" t="s">
        <v>20</v>
      </c>
      <c r="AO58" s="200"/>
      <c r="AP58" s="200" t="s">
        <v>21</v>
      </c>
      <c r="AQ58" s="200"/>
      <c r="AR58" s="200" t="s">
        <v>147</v>
      </c>
      <c r="AS58" s="200"/>
      <c r="AT58" s="200" t="s">
        <v>148</v>
      </c>
      <c r="AU58" s="200"/>
      <c r="AV58" s="200" t="s">
        <v>22</v>
      </c>
      <c r="AW58" s="200"/>
      <c r="AX58" s="200" t="s">
        <v>23</v>
      </c>
      <c r="AY58" s="200"/>
      <c r="AZ58" s="200" t="s">
        <v>332</v>
      </c>
      <c r="BA58" s="200"/>
      <c r="BB58" s="200" t="s">
        <v>24</v>
      </c>
      <c r="BC58" s="200"/>
      <c r="BD58" s="200" t="s">
        <v>25</v>
      </c>
      <c r="BE58" s="200"/>
      <c r="BF58" s="200" t="s">
        <v>26</v>
      </c>
      <c r="BG58" s="200"/>
      <c r="BH58" s="200" t="s">
        <v>27</v>
      </c>
      <c r="BI58" s="200"/>
      <c r="BJ58" s="200" t="s">
        <v>28</v>
      </c>
      <c r="BK58" s="200"/>
      <c r="BL58" s="200" t="s">
        <v>29</v>
      </c>
      <c r="BM58" s="200"/>
      <c r="BN58" s="200" t="s">
        <v>30</v>
      </c>
      <c r="BO58" s="200"/>
      <c r="BP58" s="200" t="s">
        <v>31</v>
      </c>
      <c r="BQ58" s="200"/>
      <c r="BR58" s="200" t="s">
        <v>250</v>
      </c>
      <c r="BS58" s="200"/>
    </row>
    <row r="59" spans="1:71" s="42" customFormat="1" ht="44.25" customHeight="1" x14ac:dyDescent="0.25">
      <c r="A59" s="43"/>
      <c r="B59" s="43" t="s">
        <v>321</v>
      </c>
      <c r="C59" s="43" t="s">
        <v>322</v>
      </c>
      <c r="D59" s="43" t="s">
        <v>321</v>
      </c>
      <c r="E59" s="43" t="s">
        <v>322</v>
      </c>
      <c r="F59" s="43" t="s">
        <v>321</v>
      </c>
      <c r="G59" s="43" t="s">
        <v>322</v>
      </c>
      <c r="H59" s="43" t="s">
        <v>321</v>
      </c>
      <c r="I59" s="43" t="s">
        <v>322</v>
      </c>
      <c r="J59" s="43" t="s">
        <v>321</v>
      </c>
      <c r="K59" s="43" t="s">
        <v>322</v>
      </c>
      <c r="L59" s="43" t="s">
        <v>321</v>
      </c>
      <c r="M59" s="43" t="s">
        <v>322</v>
      </c>
      <c r="N59" s="43" t="s">
        <v>321</v>
      </c>
      <c r="O59" s="43" t="s">
        <v>322</v>
      </c>
      <c r="P59" s="43" t="s">
        <v>321</v>
      </c>
      <c r="Q59" s="43" t="s">
        <v>322</v>
      </c>
      <c r="R59" s="43" t="s">
        <v>321</v>
      </c>
      <c r="S59" s="43" t="s">
        <v>322</v>
      </c>
      <c r="T59" s="43" t="s">
        <v>321</v>
      </c>
      <c r="U59" s="43" t="s">
        <v>322</v>
      </c>
      <c r="V59" s="43" t="s">
        <v>321</v>
      </c>
      <c r="W59" s="43" t="s">
        <v>322</v>
      </c>
      <c r="X59" s="43" t="s">
        <v>321</v>
      </c>
      <c r="Y59" s="43" t="s">
        <v>322</v>
      </c>
      <c r="Z59" s="43" t="s">
        <v>321</v>
      </c>
      <c r="AA59" s="43" t="s">
        <v>322</v>
      </c>
      <c r="AB59" s="43" t="s">
        <v>321</v>
      </c>
      <c r="AC59" s="43" t="s">
        <v>322</v>
      </c>
      <c r="AD59" s="43" t="s">
        <v>321</v>
      </c>
      <c r="AE59" s="43" t="s">
        <v>322</v>
      </c>
      <c r="AF59" s="43" t="s">
        <v>321</v>
      </c>
      <c r="AG59" s="43" t="s">
        <v>322</v>
      </c>
      <c r="AH59" s="43" t="s">
        <v>321</v>
      </c>
      <c r="AI59" s="43" t="s">
        <v>322</v>
      </c>
      <c r="AJ59" s="43" t="s">
        <v>321</v>
      </c>
      <c r="AK59" s="43" t="s">
        <v>322</v>
      </c>
      <c r="AL59" s="43" t="s">
        <v>321</v>
      </c>
      <c r="AM59" s="43" t="s">
        <v>322</v>
      </c>
      <c r="AN59" s="43" t="s">
        <v>321</v>
      </c>
      <c r="AO59" s="43" t="s">
        <v>322</v>
      </c>
      <c r="AP59" s="43" t="s">
        <v>321</v>
      </c>
      <c r="AQ59" s="43" t="s">
        <v>322</v>
      </c>
      <c r="AR59" s="43" t="s">
        <v>321</v>
      </c>
      <c r="AS59" s="43" t="s">
        <v>322</v>
      </c>
      <c r="AT59" s="43" t="s">
        <v>321</v>
      </c>
      <c r="AU59" s="43" t="s">
        <v>322</v>
      </c>
      <c r="AV59" s="43" t="s">
        <v>321</v>
      </c>
      <c r="AW59" s="43" t="s">
        <v>322</v>
      </c>
      <c r="AX59" s="43" t="s">
        <v>321</v>
      </c>
      <c r="AY59" s="43" t="s">
        <v>322</v>
      </c>
      <c r="AZ59" s="43" t="s">
        <v>321</v>
      </c>
      <c r="BA59" s="43" t="s">
        <v>322</v>
      </c>
      <c r="BB59" s="43" t="s">
        <v>321</v>
      </c>
      <c r="BC59" s="43" t="s">
        <v>322</v>
      </c>
      <c r="BD59" s="43" t="s">
        <v>321</v>
      </c>
      <c r="BE59" s="43" t="s">
        <v>322</v>
      </c>
      <c r="BF59" s="43" t="s">
        <v>321</v>
      </c>
      <c r="BG59" s="43" t="s">
        <v>322</v>
      </c>
      <c r="BH59" s="43" t="s">
        <v>321</v>
      </c>
      <c r="BI59" s="43" t="s">
        <v>322</v>
      </c>
      <c r="BJ59" s="43" t="s">
        <v>321</v>
      </c>
      <c r="BK59" s="43" t="s">
        <v>322</v>
      </c>
      <c r="BL59" s="43" t="s">
        <v>321</v>
      </c>
      <c r="BM59" s="43" t="s">
        <v>322</v>
      </c>
      <c r="BN59" s="43" t="s">
        <v>321</v>
      </c>
      <c r="BO59" s="43" t="s">
        <v>322</v>
      </c>
      <c r="BP59" s="43" t="s">
        <v>321</v>
      </c>
      <c r="BQ59" s="43" t="s">
        <v>322</v>
      </c>
      <c r="BR59" s="43" t="s">
        <v>321</v>
      </c>
      <c r="BS59" s="43" t="s">
        <v>322</v>
      </c>
    </row>
    <row r="60" spans="1:71" x14ac:dyDescent="0.25">
      <c r="A60" s="44" t="s">
        <v>338</v>
      </c>
      <c r="B60" s="44">
        <v>14939</v>
      </c>
      <c r="C60" s="44">
        <v>348883</v>
      </c>
      <c r="D60" s="44"/>
      <c r="E60" s="44"/>
      <c r="F60" s="44"/>
      <c r="G60" s="44"/>
      <c r="H60" s="44"/>
      <c r="I60" s="44"/>
      <c r="J60" s="136">
        <v>75048</v>
      </c>
      <c r="K60" s="44">
        <v>375417</v>
      </c>
      <c r="L60" s="44">
        <v>123125</v>
      </c>
      <c r="M60" s="44">
        <v>310690</v>
      </c>
      <c r="N60" s="44">
        <v>15302</v>
      </c>
      <c r="O60" s="44">
        <v>96273</v>
      </c>
      <c r="P60" s="44"/>
      <c r="Q60" s="44"/>
      <c r="R60" s="44"/>
      <c r="S60" s="44"/>
      <c r="T60" s="44"/>
      <c r="U60" s="44"/>
      <c r="V60" s="44"/>
      <c r="W60" s="44"/>
      <c r="X60" s="44">
        <v>46087</v>
      </c>
      <c r="Y60" s="44">
        <v>180097</v>
      </c>
      <c r="Z60" s="44"/>
      <c r="AA60" s="44"/>
      <c r="AB60" s="44">
        <f>670+159197+15496</f>
        <v>175363</v>
      </c>
      <c r="AC60" s="44">
        <f>10095+829745+35745</f>
        <v>875585</v>
      </c>
      <c r="AD60" s="44">
        <v>62841</v>
      </c>
      <c r="AE60" s="44">
        <v>357308</v>
      </c>
      <c r="AF60" s="44">
        <v>73312</v>
      </c>
      <c r="AG60" s="44">
        <v>306992</v>
      </c>
      <c r="AH60" s="44"/>
      <c r="AI60" s="44"/>
      <c r="AJ60" s="44">
        <v>27638</v>
      </c>
      <c r="AK60" s="44">
        <v>112343</v>
      </c>
      <c r="AL60" s="44">
        <v>102</v>
      </c>
      <c r="AM60" s="44">
        <v>410</v>
      </c>
      <c r="AN60" s="44"/>
      <c r="AO60" s="44"/>
      <c r="AP60" s="44">
        <v>92559.130737500032</v>
      </c>
      <c r="AQ60" s="44">
        <v>522597.17369999998</v>
      </c>
      <c r="AR60" s="44">
        <v>4363082</v>
      </c>
      <c r="AS60" s="44">
        <v>5777168</v>
      </c>
      <c r="AT60" s="44">
        <v>295517</v>
      </c>
      <c r="AU60" s="44">
        <v>784261</v>
      </c>
      <c r="AV60" s="44">
        <v>90364</v>
      </c>
      <c r="AW60" s="44">
        <v>329406</v>
      </c>
      <c r="AX60" s="44">
        <f>33663+75513</f>
        <v>109176</v>
      </c>
      <c r="AY60" s="44">
        <f>241786+133004</f>
        <v>374790</v>
      </c>
      <c r="AZ60" s="44"/>
      <c r="BA60" s="44"/>
      <c r="BB60" s="44"/>
      <c r="BC60" s="44"/>
      <c r="BD60" s="172">
        <v>28739</v>
      </c>
      <c r="BE60" s="172">
        <v>84994</v>
      </c>
      <c r="BF60" s="44">
        <v>51652</v>
      </c>
      <c r="BG60" s="44">
        <v>125675</v>
      </c>
      <c r="BH60" s="44">
        <v>979</v>
      </c>
      <c r="BI60" s="44">
        <v>5434</v>
      </c>
      <c r="BJ60" s="44"/>
      <c r="BK60" s="44"/>
      <c r="BL60" s="44">
        <v>562041</v>
      </c>
      <c r="BM60" s="44">
        <v>3003281</v>
      </c>
      <c r="BN60" s="44">
        <v>239319</v>
      </c>
      <c r="BO60" s="44">
        <v>1119731</v>
      </c>
      <c r="BP60" s="44">
        <v>1370</v>
      </c>
      <c r="BQ60" s="44">
        <v>10189</v>
      </c>
      <c r="BR60" s="44">
        <f t="shared" ref="BR60:BS64" si="8">B60+D60+F60+H60+J60+L60+N60+P60+R60+T60+V60+X60+Z60+AB60+AD60+AF60+AH60+AJ60+AL60+AN60+AP60+AR60+AT60+AV60+AX60+BB60+BD60+BF60+BH60+BJ60+BL60+BN60+BP60</f>
        <v>6448555.1307375003</v>
      </c>
      <c r="BS60" s="44">
        <f t="shared" si="8"/>
        <v>15101524.173700001</v>
      </c>
    </row>
    <row r="61" spans="1:71" x14ac:dyDescent="0.25">
      <c r="A61" s="44" t="s">
        <v>339</v>
      </c>
      <c r="B61" s="44">
        <v>9709</v>
      </c>
      <c r="C61" s="44">
        <v>226774</v>
      </c>
      <c r="D61" s="44"/>
      <c r="E61" s="44"/>
      <c r="F61" s="44"/>
      <c r="G61" s="44"/>
      <c r="H61" s="44"/>
      <c r="I61" s="44"/>
      <c r="J61" s="136"/>
      <c r="K61" s="44"/>
      <c r="L61" s="44">
        <v>797</v>
      </c>
      <c r="M61" s="44">
        <v>8650</v>
      </c>
      <c r="N61" s="44">
        <v>10000</v>
      </c>
      <c r="O61" s="44">
        <v>10000</v>
      </c>
      <c r="P61" s="44"/>
      <c r="Q61" s="44"/>
      <c r="R61" s="44"/>
      <c r="S61" s="44"/>
      <c r="T61" s="44"/>
      <c r="U61" s="44"/>
      <c r="V61" s="44"/>
      <c r="W61" s="44"/>
      <c r="X61" s="44"/>
      <c r="Y61" s="44">
        <v>8274</v>
      </c>
      <c r="Z61" s="44"/>
      <c r="AA61" s="44"/>
      <c r="AB61" s="44">
        <v>1452</v>
      </c>
      <c r="AC61" s="44">
        <f>1592+357+38341</f>
        <v>40290</v>
      </c>
      <c r="AD61" s="44">
        <v>251</v>
      </c>
      <c r="AE61" s="44">
        <v>4594</v>
      </c>
      <c r="AF61" s="44">
        <v>27733</v>
      </c>
      <c r="AG61" s="44">
        <v>47047</v>
      </c>
      <c r="AH61" s="44"/>
      <c r="AI61" s="44"/>
      <c r="AJ61" s="44">
        <v>700</v>
      </c>
      <c r="AK61" s="44">
        <v>700</v>
      </c>
      <c r="AL61" s="44"/>
      <c r="AM61" s="44">
        <v>514</v>
      </c>
      <c r="AN61" s="44"/>
      <c r="AO61" s="44"/>
      <c r="AP61" s="44">
        <v>66778.346000000005</v>
      </c>
      <c r="AQ61" s="44">
        <v>66778.346000000005</v>
      </c>
      <c r="AR61" s="44">
        <v>3159</v>
      </c>
      <c r="AS61" s="44">
        <v>202571</v>
      </c>
      <c r="AT61" s="44">
        <v>793</v>
      </c>
      <c r="AU61" s="44">
        <v>61052</v>
      </c>
      <c r="AV61" s="44">
        <v>2971</v>
      </c>
      <c r="AW61" s="44">
        <v>8957</v>
      </c>
      <c r="AX61" s="44"/>
      <c r="AY61" s="44">
        <v>14998</v>
      </c>
      <c r="AZ61" s="44"/>
      <c r="BA61" s="44"/>
      <c r="BB61" s="44"/>
      <c r="BC61" s="44"/>
      <c r="BD61" s="169"/>
      <c r="BE61" s="116"/>
      <c r="BF61" s="44">
        <v>10031</v>
      </c>
      <c r="BG61" s="44">
        <v>13611</v>
      </c>
      <c r="BH61" s="44"/>
      <c r="BI61" s="44"/>
      <c r="BJ61" s="44"/>
      <c r="BK61" s="44"/>
      <c r="BL61" s="44">
        <v>14693</v>
      </c>
      <c r="BM61" s="44">
        <v>221313</v>
      </c>
      <c r="BN61" s="44">
        <v>2169</v>
      </c>
      <c r="BO61" s="44">
        <v>139259</v>
      </c>
      <c r="BP61" s="44"/>
      <c r="BQ61" s="44"/>
      <c r="BR61" s="44">
        <f t="shared" si="8"/>
        <v>151236.34600000002</v>
      </c>
      <c r="BS61" s="44">
        <f t="shared" si="8"/>
        <v>1075382.3459999999</v>
      </c>
    </row>
    <row r="62" spans="1:71" x14ac:dyDescent="0.25">
      <c r="A62" s="44" t="s">
        <v>340</v>
      </c>
      <c r="B62" s="44">
        <v>5230</v>
      </c>
      <c r="C62" s="44">
        <v>122109</v>
      </c>
      <c r="D62" s="44"/>
      <c r="E62" s="44"/>
      <c r="F62" s="44"/>
      <c r="G62" s="44"/>
      <c r="H62" s="44"/>
      <c r="I62" s="44"/>
      <c r="J62" s="136">
        <v>33224</v>
      </c>
      <c r="K62" s="44">
        <v>231518</v>
      </c>
      <c r="L62" s="44">
        <v>77236</v>
      </c>
      <c r="M62" s="44">
        <v>158868</v>
      </c>
      <c r="N62" s="44">
        <v>2880</v>
      </c>
      <c r="O62" s="44">
        <v>48327</v>
      </c>
      <c r="P62" s="44"/>
      <c r="Q62" s="44"/>
      <c r="R62" s="44"/>
      <c r="S62" s="44"/>
      <c r="T62" s="44"/>
      <c r="U62" s="44"/>
      <c r="V62" s="44"/>
      <c r="W62" s="44"/>
      <c r="X62" s="44">
        <v>24117</v>
      </c>
      <c r="Y62" s="44">
        <v>117865</v>
      </c>
      <c r="Z62" s="44"/>
      <c r="AA62" s="44"/>
      <c r="AB62" s="44">
        <f>-11299-133-93208</f>
        <v>-104640</v>
      </c>
      <c r="AC62" s="44">
        <f>-18692-4606-523750</f>
        <v>-547048</v>
      </c>
      <c r="AD62" s="44">
        <v>19503</v>
      </c>
      <c r="AE62" s="44">
        <v>202175</v>
      </c>
      <c r="AF62" s="44">
        <v>35055</v>
      </c>
      <c r="AG62" s="44">
        <v>137261</v>
      </c>
      <c r="AH62" s="44"/>
      <c r="AI62" s="44"/>
      <c r="AJ62" s="44">
        <v>4376</v>
      </c>
      <c r="AK62" s="44">
        <v>57574</v>
      </c>
      <c r="AL62" s="44">
        <v>-67</v>
      </c>
      <c r="AM62" s="44">
        <v>-629</v>
      </c>
      <c r="AN62" s="44"/>
      <c r="AO62" s="44"/>
      <c r="AP62" s="44">
        <v>4632.9608305000002</v>
      </c>
      <c r="AQ62" s="44">
        <v>26137.077217999999</v>
      </c>
      <c r="AR62" s="44">
        <v>736460</v>
      </c>
      <c r="AS62" s="44">
        <v>1654759</v>
      </c>
      <c r="AT62" s="44">
        <v>45631</v>
      </c>
      <c r="AU62" s="44">
        <v>237077</v>
      </c>
      <c r="AV62" s="44">
        <v>4527</v>
      </c>
      <c r="AW62" s="44">
        <v>14777</v>
      </c>
      <c r="AX62" s="44">
        <v>47889</v>
      </c>
      <c r="AY62" s="44">
        <v>128966</v>
      </c>
      <c r="AZ62" s="44"/>
      <c r="BA62" s="44"/>
      <c r="BB62" s="44"/>
      <c r="BC62" s="44"/>
      <c r="BD62" s="169">
        <v>-24888</v>
      </c>
      <c r="BE62" s="116">
        <v>-51586</v>
      </c>
      <c r="BF62" s="44">
        <v>36989</v>
      </c>
      <c r="BG62" s="44">
        <v>87761</v>
      </c>
      <c r="BH62" s="44">
        <v>1084</v>
      </c>
      <c r="BI62" s="44">
        <v>2439</v>
      </c>
      <c r="BJ62" s="44"/>
      <c r="BK62" s="44"/>
      <c r="BL62" s="44">
        <v>331371</v>
      </c>
      <c r="BM62" s="44">
        <v>1897524</v>
      </c>
      <c r="BN62" s="44">
        <v>50790</v>
      </c>
      <c r="BO62" s="44">
        <v>421682</v>
      </c>
      <c r="BP62" s="44">
        <v>1038</v>
      </c>
      <c r="BQ62" s="44">
        <v>4387</v>
      </c>
      <c r="BR62" s="44">
        <f t="shared" si="8"/>
        <v>1332437.9608304999</v>
      </c>
      <c r="BS62" s="44">
        <f t="shared" si="8"/>
        <v>4951943.0772179998</v>
      </c>
    </row>
    <row r="63" spans="1:71" x14ac:dyDescent="0.25">
      <c r="A63" s="44" t="s">
        <v>188</v>
      </c>
      <c r="B63" s="44">
        <v>29346</v>
      </c>
      <c r="C63" s="44">
        <v>48688</v>
      </c>
      <c r="D63" s="44"/>
      <c r="E63" s="44"/>
      <c r="F63" s="44"/>
      <c r="G63" s="44"/>
      <c r="H63" s="44"/>
      <c r="I63" s="44"/>
      <c r="J63" s="129">
        <v>41824</v>
      </c>
      <c r="K63" s="44">
        <v>143899</v>
      </c>
      <c r="L63" s="44">
        <v>46686</v>
      </c>
      <c r="M63" s="44">
        <v>160472</v>
      </c>
      <c r="N63" s="44">
        <v>22422</v>
      </c>
      <c r="O63" s="44">
        <v>57946</v>
      </c>
      <c r="P63" s="44"/>
      <c r="Q63" s="44"/>
      <c r="R63" s="44"/>
      <c r="S63" s="44"/>
      <c r="T63" s="44"/>
      <c r="U63" s="44"/>
      <c r="V63" s="44"/>
      <c r="W63" s="44"/>
      <c r="X63" s="44">
        <v>21970</v>
      </c>
      <c r="Y63" s="44">
        <v>70506</v>
      </c>
      <c r="Z63" s="44"/>
      <c r="AA63" s="44"/>
      <c r="AB63" s="44">
        <f>537+67442+4196</f>
        <v>72175</v>
      </c>
      <c r="AC63" s="44">
        <f>5847+344337+18645</f>
        <v>368829</v>
      </c>
      <c r="AD63" s="44">
        <v>43589</v>
      </c>
      <c r="AE63" s="44">
        <v>159727</v>
      </c>
      <c r="AF63" s="44">
        <v>65990</v>
      </c>
      <c r="AG63" s="44">
        <v>216778</v>
      </c>
      <c r="AH63" s="44"/>
      <c r="AI63" s="44"/>
      <c r="AJ63" s="44">
        <v>23962</v>
      </c>
      <c r="AK63" s="44">
        <v>55470</v>
      </c>
      <c r="AL63" s="44">
        <v>35</v>
      </c>
      <c r="AM63" s="44">
        <v>295</v>
      </c>
      <c r="AN63" s="44"/>
      <c r="AO63" s="44"/>
      <c r="AP63" s="44">
        <v>154704.51590700005</v>
      </c>
      <c r="AQ63" s="44">
        <v>563238.44248199998</v>
      </c>
      <c r="AR63" s="44">
        <v>3629781</v>
      </c>
      <c r="AS63" s="44">
        <v>4324980</v>
      </c>
      <c r="AT63" s="44">
        <v>250679</v>
      </c>
      <c r="AU63" s="44">
        <v>608236</v>
      </c>
      <c r="AV63" s="44">
        <v>83828</v>
      </c>
      <c r="AW63" s="44">
        <v>325162</v>
      </c>
      <c r="AX63" s="44">
        <f>27624+31980</f>
        <v>59604</v>
      </c>
      <c r="AY63" s="44">
        <f>127818+126354</f>
        <v>254172</v>
      </c>
      <c r="AZ63" s="44"/>
      <c r="BA63" s="44"/>
      <c r="BB63" s="44"/>
      <c r="BC63" s="44"/>
      <c r="BD63" s="171">
        <v>3851</v>
      </c>
      <c r="BE63" s="171">
        <v>33408</v>
      </c>
      <c r="BF63" s="44">
        <v>24694</v>
      </c>
      <c r="BG63" s="44">
        <v>51525</v>
      </c>
      <c r="BH63" s="44">
        <v>-105</v>
      </c>
      <c r="BI63" s="44">
        <v>2995</v>
      </c>
      <c r="BJ63" s="44"/>
      <c r="BK63" s="44"/>
      <c r="BL63" s="44">
        <v>245363</v>
      </c>
      <c r="BM63" s="44">
        <v>1327070</v>
      </c>
      <c r="BN63" s="44">
        <v>190698</v>
      </c>
      <c r="BO63" s="44">
        <v>837308</v>
      </c>
      <c r="BP63" s="44">
        <v>332</v>
      </c>
      <c r="BQ63" s="44">
        <v>5802</v>
      </c>
      <c r="BR63" s="44">
        <f t="shared" si="8"/>
        <v>5011428.5159069998</v>
      </c>
      <c r="BS63" s="44">
        <f t="shared" si="8"/>
        <v>9616506.4424820002</v>
      </c>
    </row>
    <row r="64" spans="1:71" x14ac:dyDescent="0.25">
      <c r="A64" s="44" t="s">
        <v>341</v>
      </c>
      <c r="B64" s="44"/>
      <c r="C64" s="44"/>
      <c r="D64" s="44"/>
      <c r="E64" s="44"/>
      <c r="F64" s="44"/>
      <c r="G64" s="44"/>
      <c r="H64" s="44"/>
      <c r="I64" s="44"/>
      <c r="J64" s="44">
        <v>49252</v>
      </c>
      <c r="K64" s="44">
        <v>147265</v>
      </c>
      <c r="L64" s="44">
        <v>35947</v>
      </c>
      <c r="M64" s="44">
        <v>137616</v>
      </c>
      <c r="N64" s="44">
        <v>13264</v>
      </c>
      <c r="O64" s="44">
        <v>50149</v>
      </c>
      <c r="P64" s="44"/>
      <c r="Q64" s="44"/>
      <c r="R64" s="44"/>
      <c r="S64" s="44"/>
      <c r="T64" s="44"/>
      <c r="U64" s="44"/>
      <c r="V64" s="44"/>
      <c r="W64" s="44"/>
      <c r="X64" s="44">
        <v>18368</v>
      </c>
      <c r="Y64" s="44">
        <v>68495</v>
      </c>
      <c r="Z64" s="44"/>
      <c r="AA64" s="44"/>
      <c r="AB64" s="44">
        <f>1406+73033+4394</f>
        <v>78833</v>
      </c>
      <c r="AC64" s="44">
        <f>5550+282944+16493</f>
        <v>304987</v>
      </c>
      <c r="AD64" s="44">
        <v>46748</v>
      </c>
      <c r="AE64" s="44">
        <v>151799</v>
      </c>
      <c r="AF64" s="44">
        <v>71913</v>
      </c>
      <c r="AG64" s="44">
        <v>208908</v>
      </c>
      <c r="AH64" s="44"/>
      <c r="AI64" s="44"/>
      <c r="AJ64" s="44">
        <v>10652</v>
      </c>
      <c r="AK64" s="44">
        <v>34807</v>
      </c>
      <c r="AL64" s="44">
        <v>48</v>
      </c>
      <c r="AM64" s="44">
        <v>230</v>
      </c>
      <c r="AN64" s="44"/>
      <c r="AO64" s="44"/>
      <c r="AP64" s="44">
        <v>119549.03890700005</v>
      </c>
      <c r="AQ64" s="44">
        <v>522546.18148199999</v>
      </c>
      <c r="AR64" s="44">
        <v>3897541</v>
      </c>
      <c r="AS64" s="44">
        <v>4385265</v>
      </c>
      <c r="AT64" s="44">
        <v>251513</v>
      </c>
      <c r="AU64" s="44">
        <v>587409</v>
      </c>
      <c r="AV64" s="44">
        <v>75256</v>
      </c>
      <c r="AW64" s="44">
        <v>293820</v>
      </c>
      <c r="AX64" s="44">
        <f>40670+33649</f>
        <v>74319</v>
      </c>
      <c r="AY64" s="44">
        <f>122321+115696</f>
        <v>238017</v>
      </c>
      <c r="AZ64" s="44"/>
      <c r="BA64" s="44"/>
      <c r="BB64" s="44"/>
      <c r="BC64" s="44"/>
      <c r="BD64" s="171">
        <v>8162</v>
      </c>
      <c r="BE64" s="171">
        <v>33898</v>
      </c>
      <c r="BF64" s="44">
        <v>11539</v>
      </c>
      <c r="BG64" s="44">
        <v>40116</v>
      </c>
      <c r="BH64" s="44">
        <v>437</v>
      </c>
      <c r="BI64" s="44">
        <v>4002</v>
      </c>
      <c r="BJ64" s="44"/>
      <c r="BK64" s="44"/>
      <c r="BL64" s="44">
        <v>374544</v>
      </c>
      <c r="BM64" s="44">
        <v>1483300</v>
      </c>
      <c r="BN64" s="44">
        <v>223613</v>
      </c>
      <c r="BO64" s="44">
        <v>869998</v>
      </c>
      <c r="BP64" s="44">
        <v>1470</v>
      </c>
      <c r="BQ64" s="44">
        <v>5665</v>
      </c>
      <c r="BR64" s="44">
        <f t="shared" si="8"/>
        <v>5362968.0389069999</v>
      </c>
      <c r="BS64" s="44">
        <f t="shared" si="8"/>
        <v>9568292.1814820003</v>
      </c>
    </row>
    <row r="65" spans="1:71" x14ac:dyDescent="0.25">
      <c r="A65" s="108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1:71" x14ac:dyDescent="0.25">
      <c r="A66" s="67" t="s">
        <v>252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1:71" s="15" customFormat="1" x14ac:dyDescent="0.25">
      <c r="A67" s="23" t="s">
        <v>0</v>
      </c>
      <c r="B67" s="200" t="s">
        <v>1</v>
      </c>
      <c r="C67" s="200"/>
      <c r="D67" s="200" t="s">
        <v>2</v>
      </c>
      <c r="E67" s="200"/>
      <c r="F67" s="200" t="s">
        <v>3</v>
      </c>
      <c r="G67" s="200"/>
      <c r="H67" s="200" t="s">
        <v>4</v>
      </c>
      <c r="I67" s="200"/>
      <c r="J67" s="200" t="s">
        <v>5</v>
      </c>
      <c r="K67" s="200"/>
      <c r="L67" s="200" t="s">
        <v>6</v>
      </c>
      <c r="M67" s="200"/>
      <c r="N67" s="200" t="s">
        <v>7</v>
      </c>
      <c r="O67" s="200"/>
      <c r="P67" s="200" t="s">
        <v>8</v>
      </c>
      <c r="Q67" s="200"/>
      <c r="R67" s="200" t="s">
        <v>9</v>
      </c>
      <c r="S67" s="200"/>
      <c r="T67" s="200" t="s">
        <v>10</v>
      </c>
      <c r="U67" s="200"/>
      <c r="V67" s="200" t="s">
        <v>11</v>
      </c>
      <c r="W67" s="200"/>
      <c r="X67" s="200" t="s">
        <v>12</v>
      </c>
      <c r="Y67" s="200"/>
      <c r="Z67" s="200" t="s">
        <v>13</v>
      </c>
      <c r="AA67" s="200"/>
      <c r="AB67" s="200" t="s">
        <v>14</v>
      </c>
      <c r="AC67" s="200"/>
      <c r="AD67" s="200" t="s">
        <v>15</v>
      </c>
      <c r="AE67" s="200"/>
      <c r="AF67" s="200" t="s">
        <v>16</v>
      </c>
      <c r="AG67" s="200"/>
      <c r="AH67" s="200" t="s">
        <v>17</v>
      </c>
      <c r="AI67" s="200"/>
      <c r="AJ67" s="200" t="s">
        <v>18</v>
      </c>
      <c r="AK67" s="200"/>
      <c r="AL67" s="200" t="s">
        <v>19</v>
      </c>
      <c r="AM67" s="200"/>
      <c r="AN67" s="200" t="s">
        <v>20</v>
      </c>
      <c r="AO67" s="200"/>
      <c r="AP67" s="200" t="s">
        <v>21</v>
      </c>
      <c r="AQ67" s="200"/>
      <c r="AR67" s="200" t="s">
        <v>147</v>
      </c>
      <c r="AS67" s="200"/>
      <c r="AT67" s="200" t="s">
        <v>148</v>
      </c>
      <c r="AU67" s="200"/>
      <c r="AV67" s="200" t="s">
        <v>22</v>
      </c>
      <c r="AW67" s="200"/>
      <c r="AX67" s="200" t="s">
        <v>23</v>
      </c>
      <c r="AY67" s="200"/>
      <c r="AZ67" s="200" t="s">
        <v>332</v>
      </c>
      <c r="BA67" s="200"/>
      <c r="BB67" s="200" t="s">
        <v>24</v>
      </c>
      <c r="BC67" s="200"/>
      <c r="BD67" s="200" t="s">
        <v>25</v>
      </c>
      <c r="BE67" s="200"/>
      <c r="BF67" s="200" t="s">
        <v>26</v>
      </c>
      <c r="BG67" s="200"/>
      <c r="BH67" s="200" t="s">
        <v>27</v>
      </c>
      <c r="BI67" s="200"/>
      <c r="BJ67" s="200" t="s">
        <v>28</v>
      </c>
      <c r="BK67" s="200"/>
      <c r="BL67" s="200" t="s">
        <v>29</v>
      </c>
      <c r="BM67" s="200"/>
      <c r="BN67" s="200" t="s">
        <v>30</v>
      </c>
      <c r="BO67" s="200"/>
      <c r="BP67" s="200" t="s">
        <v>31</v>
      </c>
      <c r="BQ67" s="200"/>
      <c r="BR67" s="200" t="s">
        <v>250</v>
      </c>
      <c r="BS67" s="200"/>
    </row>
    <row r="68" spans="1:71" s="42" customFormat="1" ht="44.25" customHeight="1" x14ac:dyDescent="0.25">
      <c r="A68" s="43"/>
      <c r="B68" s="43" t="s">
        <v>321</v>
      </c>
      <c r="C68" s="43" t="s">
        <v>322</v>
      </c>
      <c r="D68" s="43" t="s">
        <v>321</v>
      </c>
      <c r="E68" s="43" t="s">
        <v>322</v>
      </c>
      <c r="F68" s="43" t="s">
        <v>321</v>
      </c>
      <c r="G68" s="43" t="s">
        <v>322</v>
      </c>
      <c r="H68" s="43" t="s">
        <v>321</v>
      </c>
      <c r="I68" s="43" t="s">
        <v>322</v>
      </c>
      <c r="J68" s="43" t="s">
        <v>321</v>
      </c>
      <c r="K68" s="43" t="s">
        <v>321</v>
      </c>
      <c r="L68" s="43" t="s">
        <v>321</v>
      </c>
      <c r="M68" s="43" t="s">
        <v>322</v>
      </c>
      <c r="N68" s="43" t="s">
        <v>321</v>
      </c>
      <c r="O68" s="43" t="s">
        <v>322</v>
      </c>
      <c r="P68" s="43" t="s">
        <v>321</v>
      </c>
      <c r="Q68" s="43" t="s">
        <v>322</v>
      </c>
      <c r="R68" s="43" t="s">
        <v>321</v>
      </c>
      <c r="S68" s="43" t="s">
        <v>322</v>
      </c>
      <c r="T68" s="43" t="s">
        <v>321</v>
      </c>
      <c r="U68" s="43" t="s">
        <v>322</v>
      </c>
      <c r="V68" s="43" t="s">
        <v>321</v>
      </c>
      <c r="W68" s="43" t="s">
        <v>322</v>
      </c>
      <c r="X68" s="43" t="s">
        <v>321</v>
      </c>
      <c r="Y68" s="43" t="s">
        <v>322</v>
      </c>
      <c r="Z68" s="43" t="s">
        <v>321</v>
      </c>
      <c r="AA68" s="43" t="s">
        <v>322</v>
      </c>
      <c r="AB68" s="43" t="s">
        <v>321</v>
      </c>
      <c r="AC68" s="43" t="s">
        <v>322</v>
      </c>
      <c r="AD68" s="43" t="s">
        <v>321</v>
      </c>
      <c r="AE68" s="43" t="s">
        <v>322</v>
      </c>
      <c r="AF68" s="43" t="s">
        <v>321</v>
      </c>
      <c r="AG68" s="43" t="s">
        <v>322</v>
      </c>
      <c r="AH68" s="43" t="s">
        <v>321</v>
      </c>
      <c r="AI68" s="43" t="s">
        <v>322</v>
      </c>
      <c r="AJ68" s="43" t="s">
        <v>321</v>
      </c>
      <c r="AK68" s="43" t="s">
        <v>322</v>
      </c>
      <c r="AL68" s="43" t="s">
        <v>321</v>
      </c>
      <c r="AM68" s="43" t="s">
        <v>322</v>
      </c>
      <c r="AN68" s="43" t="s">
        <v>321</v>
      </c>
      <c r="AO68" s="43" t="s">
        <v>322</v>
      </c>
      <c r="AP68" s="43" t="s">
        <v>321</v>
      </c>
      <c r="AQ68" s="43" t="s">
        <v>322</v>
      </c>
      <c r="AR68" s="43" t="s">
        <v>321</v>
      </c>
      <c r="AS68" s="43" t="s">
        <v>322</v>
      </c>
      <c r="AT68" s="43" t="s">
        <v>321</v>
      </c>
      <c r="AU68" s="43" t="s">
        <v>322</v>
      </c>
      <c r="AV68" s="43" t="s">
        <v>321</v>
      </c>
      <c r="AW68" s="43" t="s">
        <v>322</v>
      </c>
      <c r="AX68" s="43" t="s">
        <v>321</v>
      </c>
      <c r="AY68" s="43" t="s">
        <v>322</v>
      </c>
      <c r="AZ68" s="43" t="s">
        <v>321</v>
      </c>
      <c r="BA68" s="43" t="s">
        <v>322</v>
      </c>
      <c r="BB68" s="43" t="s">
        <v>321</v>
      </c>
      <c r="BC68" s="43" t="s">
        <v>322</v>
      </c>
      <c r="BD68" s="43" t="s">
        <v>321</v>
      </c>
      <c r="BE68" s="43" t="s">
        <v>322</v>
      </c>
      <c r="BF68" s="43" t="s">
        <v>321</v>
      </c>
      <c r="BG68" s="43" t="s">
        <v>322</v>
      </c>
      <c r="BH68" s="43" t="s">
        <v>321</v>
      </c>
      <c r="BI68" s="43" t="s">
        <v>322</v>
      </c>
      <c r="BJ68" s="43" t="s">
        <v>321</v>
      </c>
      <c r="BK68" s="43" t="s">
        <v>322</v>
      </c>
      <c r="BL68" s="43" t="s">
        <v>321</v>
      </c>
      <c r="BM68" s="43" t="s">
        <v>322</v>
      </c>
      <c r="BN68" s="43" t="s">
        <v>321</v>
      </c>
      <c r="BO68" s="43" t="s">
        <v>322</v>
      </c>
      <c r="BP68" s="43" t="s">
        <v>321</v>
      </c>
      <c r="BQ68" s="43" t="s">
        <v>322</v>
      </c>
      <c r="BR68" s="43" t="s">
        <v>321</v>
      </c>
      <c r="BS68" s="43" t="s">
        <v>322</v>
      </c>
    </row>
    <row r="69" spans="1:71" x14ac:dyDescent="0.25">
      <c r="A69" s="44" t="s">
        <v>338</v>
      </c>
      <c r="B69" s="44"/>
      <c r="C69" s="44"/>
      <c r="D69" s="44"/>
      <c r="E69" s="44"/>
      <c r="F69" s="44"/>
      <c r="G69" s="44"/>
      <c r="H69" s="44"/>
      <c r="I69" s="44"/>
      <c r="J69" s="44">
        <v>197523</v>
      </c>
      <c r="K69" s="44">
        <v>235565</v>
      </c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>
        <v>67809</v>
      </c>
      <c r="AC69" s="44">
        <v>280321</v>
      </c>
      <c r="AD69" s="44">
        <v>128808</v>
      </c>
      <c r="AE69" s="44">
        <v>712876</v>
      </c>
      <c r="AF69" s="44">
        <v>4061</v>
      </c>
      <c r="AG69" s="44">
        <v>6048</v>
      </c>
      <c r="AH69" s="44"/>
      <c r="AI69" s="44"/>
      <c r="AJ69" s="44"/>
      <c r="AK69" s="44"/>
      <c r="AL69" s="44"/>
      <c r="AM69" s="44"/>
      <c r="AN69" s="44"/>
      <c r="AO69" s="44"/>
      <c r="AP69" s="44">
        <v>265965.29851606803</v>
      </c>
      <c r="AQ69" s="44">
        <v>820557.18742756802</v>
      </c>
      <c r="AR69" s="44">
        <v>540566</v>
      </c>
      <c r="AS69" s="44">
        <v>1687360</v>
      </c>
      <c r="AT69" s="44">
        <v>237598</v>
      </c>
      <c r="AU69" s="44">
        <v>1161402</v>
      </c>
      <c r="AV69" s="44"/>
      <c r="AW69" s="44"/>
      <c r="AX69" s="44">
        <v>18385</v>
      </c>
      <c r="AY69" s="44">
        <v>114043</v>
      </c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>
        <v>12658</v>
      </c>
      <c r="BM69" s="44">
        <v>44626</v>
      </c>
      <c r="BN69" s="44">
        <v>194600</v>
      </c>
      <c r="BO69" s="44">
        <v>535098</v>
      </c>
      <c r="BP69" s="44"/>
      <c r="BQ69" s="44"/>
      <c r="BR69" s="44">
        <f t="shared" ref="BR69:BS73" si="9">B69+D69+F69+H69+J69+L69+N69+P69+R69+T69+V69+X69+Z69+AB69+AD69+AF69+AH69+AJ69+AL69+AN69+AP69+AR69+AT69+AV69+AX69+BB69+BD69+BF69+BH69+BJ69+BL69+BN69+BP69</f>
        <v>1667973.2985160681</v>
      </c>
      <c r="BS69" s="44">
        <f t="shared" si="9"/>
        <v>5597896.1874275682</v>
      </c>
    </row>
    <row r="70" spans="1:71" x14ac:dyDescent="0.25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>
        <v>-1426</v>
      </c>
      <c r="AC70" s="44">
        <v>-2311</v>
      </c>
      <c r="AD70" s="44">
        <v>-26990</v>
      </c>
      <c r="AE70" s="44">
        <v>41281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>
        <v>599044.36855000001</v>
      </c>
      <c r="AQ70" s="44">
        <v>602124.83499999996</v>
      </c>
      <c r="AR70" s="44">
        <v>379771</v>
      </c>
      <c r="AS70" s="44">
        <v>1277255</v>
      </c>
      <c r="AT70" s="44">
        <v>179845</v>
      </c>
      <c r="AU70" s="44">
        <v>535272</v>
      </c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>
        <v>19631</v>
      </c>
      <c r="BO70" s="44">
        <v>68154</v>
      </c>
      <c r="BP70" s="44"/>
      <c r="BQ70" s="44"/>
      <c r="BR70" s="44">
        <f t="shared" si="9"/>
        <v>1149875.36855</v>
      </c>
      <c r="BS70" s="44">
        <f t="shared" si="9"/>
        <v>2521775.835</v>
      </c>
    </row>
    <row r="71" spans="1:71" x14ac:dyDescent="0.25">
      <c r="A71" s="44" t="s">
        <v>340</v>
      </c>
      <c r="B71" s="44"/>
      <c r="C71" s="44"/>
      <c r="D71" s="44"/>
      <c r="E71" s="44"/>
      <c r="F71" s="44"/>
      <c r="G71" s="44"/>
      <c r="H71" s="44"/>
      <c r="I71" s="44"/>
      <c r="J71" s="44">
        <v>104189</v>
      </c>
      <c r="K71" s="44">
        <v>140068</v>
      </c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>
        <v>-69982</v>
      </c>
      <c r="AC71" s="44">
        <v>-278104</v>
      </c>
      <c r="AD71" s="44">
        <v>94922</v>
      </c>
      <c r="AE71" s="44">
        <v>660558</v>
      </c>
      <c r="AF71" s="44">
        <v>4148</v>
      </c>
      <c r="AG71" s="44">
        <v>5983</v>
      </c>
      <c r="AH71" s="44"/>
      <c r="AI71" s="44"/>
      <c r="AJ71" s="44"/>
      <c r="AK71" s="44"/>
      <c r="AL71" s="44"/>
      <c r="AM71" s="44"/>
      <c r="AN71" s="44"/>
      <c r="AO71" s="44"/>
      <c r="AP71" s="44">
        <v>372871.51261229999</v>
      </c>
      <c r="AQ71" s="44">
        <v>778764.91862000001</v>
      </c>
      <c r="AR71" s="44">
        <v>572415</v>
      </c>
      <c r="AS71" s="44">
        <v>1822924</v>
      </c>
      <c r="AT71" s="44">
        <v>283420</v>
      </c>
      <c r="AU71" s="44">
        <v>1150684</v>
      </c>
      <c r="AV71" s="44"/>
      <c r="AW71" s="44"/>
      <c r="AX71" s="44">
        <v>27506</v>
      </c>
      <c r="AY71" s="44">
        <v>122478</v>
      </c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>
        <v>12656</v>
      </c>
      <c r="BM71" s="44">
        <v>44142</v>
      </c>
      <c r="BN71" s="44">
        <v>165906</v>
      </c>
      <c r="BO71" s="44">
        <v>593780</v>
      </c>
      <c r="BP71" s="44"/>
      <c r="BQ71" s="44"/>
      <c r="BR71" s="44">
        <f t="shared" si="9"/>
        <v>1568051.5126123</v>
      </c>
      <c r="BS71" s="44">
        <f t="shared" si="9"/>
        <v>5041277.9186199997</v>
      </c>
    </row>
    <row r="72" spans="1:71" x14ac:dyDescent="0.25">
      <c r="A72" s="44" t="s">
        <v>188</v>
      </c>
      <c r="B72" s="44"/>
      <c r="C72" s="44"/>
      <c r="D72" s="44"/>
      <c r="E72" s="44"/>
      <c r="F72" s="44"/>
      <c r="G72" s="44"/>
      <c r="H72" s="44"/>
      <c r="I72" s="44"/>
      <c r="J72" s="44">
        <v>93334</v>
      </c>
      <c r="K72" s="44">
        <v>95497</v>
      </c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>
        <v>-3599</v>
      </c>
      <c r="AC72" s="44">
        <v>-94</v>
      </c>
      <c r="AD72" s="44">
        <v>6896</v>
      </c>
      <c r="AE72" s="44">
        <v>93599</v>
      </c>
      <c r="AF72" s="44">
        <v>-87</v>
      </c>
      <c r="AG72" s="44">
        <v>65</v>
      </c>
      <c r="AH72" s="44"/>
      <c r="AI72" s="44"/>
      <c r="AJ72" s="44"/>
      <c r="AK72" s="44"/>
      <c r="AL72" s="44"/>
      <c r="AM72" s="44"/>
      <c r="AN72" s="44"/>
      <c r="AO72" s="44"/>
      <c r="AP72" s="44">
        <v>492138.15445376805</v>
      </c>
      <c r="AQ72" s="44">
        <v>643917.10380756797</v>
      </c>
      <c r="AR72" s="44">
        <v>347921</v>
      </c>
      <c r="AS72" s="44">
        <v>1141691</v>
      </c>
      <c r="AT72" s="44">
        <v>134023</v>
      </c>
      <c r="AU72" s="44">
        <v>545990</v>
      </c>
      <c r="AV72" s="44"/>
      <c r="AW72" s="44"/>
      <c r="AX72" s="44">
        <v>-9121</v>
      </c>
      <c r="AY72" s="44">
        <v>-8435</v>
      </c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>
        <v>2</v>
      </c>
      <c r="BM72" s="44">
        <v>484</v>
      </c>
      <c r="BN72" s="44">
        <v>48325</v>
      </c>
      <c r="BO72" s="44">
        <v>9472</v>
      </c>
      <c r="BP72" s="44"/>
      <c r="BQ72" s="44"/>
      <c r="BR72" s="44">
        <f t="shared" si="9"/>
        <v>1109832.1544537679</v>
      </c>
      <c r="BS72" s="44">
        <f t="shared" si="9"/>
        <v>2522186.1038075681</v>
      </c>
    </row>
    <row r="73" spans="1:71" x14ac:dyDescent="0.25">
      <c r="A73" s="44" t="s">
        <v>341</v>
      </c>
      <c r="B73" s="44"/>
      <c r="C73" s="44"/>
      <c r="D73" s="44"/>
      <c r="E73" s="44"/>
      <c r="F73" s="44"/>
      <c r="G73" s="44"/>
      <c r="H73" s="44"/>
      <c r="I73" s="44"/>
      <c r="J73" s="44">
        <v>23258</v>
      </c>
      <c r="K73" s="44">
        <v>25085</v>
      </c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>
        <v>5</v>
      </c>
      <c r="Z73" s="44"/>
      <c r="AA73" s="44"/>
      <c r="AB73" s="44">
        <v>-3552</v>
      </c>
      <c r="AC73" s="44">
        <v>515</v>
      </c>
      <c r="AD73" s="44">
        <v>-6403</v>
      </c>
      <c r="AE73" s="44">
        <v>96919</v>
      </c>
      <c r="AF73" s="44">
        <v>-149</v>
      </c>
      <c r="AG73" s="44">
        <v>133</v>
      </c>
      <c r="AH73" s="44"/>
      <c r="AI73" s="44"/>
      <c r="AJ73" s="44"/>
      <c r="AK73" s="44"/>
      <c r="AL73" s="44"/>
      <c r="AM73" s="44"/>
      <c r="AN73" s="44"/>
      <c r="AO73" s="44"/>
      <c r="AP73" s="44">
        <v>298887.37745376804</v>
      </c>
      <c r="AQ73" s="44">
        <v>409511.28480756795</v>
      </c>
      <c r="AR73" s="44">
        <v>162953</v>
      </c>
      <c r="AS73" s="44">
        <v>980230</v>
      </c>
      <c r="AT73" s="44">
        <v>116020</v>
      </c>
      <c r="AU73" s="44">
        <v>386161</v>
      </c>
      <c r="AV73" s="44"/>
      <c r="AW73" s="44"/>
      <c r="AX73" s="44">
        <v>-8943</v>
      </c>
      <c r="AY73" s="44">
        <v>-8163</v>
      </c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>
        <v>2</v>
      </c>
      <c r="BM73" s="44">
        <v>486</v>
      </c>
      <c r="BN73" s="44">
        <v>60202</v>
      </c>
      <c r="BO73" s="44">
        <v>46464</v>
      </c>
      <c r="BP73" s="44"/>
      <c r="BQ73" s="44"/>
      <c r="BR73" s="44">
        <f t="shared" si="9"/>
        <v>642275.37745376804</v>
      </c>
      <c r="BS73" s="44">
        <f t="shared" si="9"/>
        <v>1937346.284807568</v>
      </c>
    </row>
    <row r="74" spans="1:71" x14ac:dyDescent="0.25">
      <c r="A74" s="108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</row>
    <row r="75" spans="1:71" x14ac:dyDescent="0.25">
      <c r="A75" s="7" t="s">
        <v>170</v>
      </c>
    </row>
    <row r="76" spans="1:71" s="15" customFormat="1" x14ac:dyDescent="0.25">
      <c r="A76" s="23" t="s">
        <v>0</v>
      </c>
      <c r="B76" s="200" t="s">
        <v>1</v>
      </c>
      <c r="C76" s="200"/>
      <c r="D76" s="200" t="s">
        <v>2</v>
      </c>
      <c r="E76" s="200"/>
      <c r="F76" s="200" t="s">
        <v>3</v>
      </c>
      <c r="G76" s="200"/>
      <c r="H76" s="200" t="s">
        <v>4</v>
      </c>
      <c r="I76" s="200"/>
      <c r="J76" s="200">
        <v>16931836</v>
      </c>
      <c r="K76" s="200"/>
      <c r="L76" s="200" t="s">
        <v>6</v>
      </c>
      <c r="M76" s="200"/>
      <c r="N76" s="200" t="s">
        <v>7</v>
      </c>
      <c r="O76" s="200"/>
      <c r="P76" s="200" t="s">
        <v>8</v>
      </c>
      <c r="Q76" s="200"/>
      <c r="R76" s="200" t="s">
        <v>9</v>
      </c>
      <c r="S76" s="200"/>
      <c r="T76" s="200" t="s">
        <v>10</v>
      </c>
      <c r="U76" s="200"/>
      <c r="V76" s="200" t="s">
        <v>11</v>
      </c>
      <c r="W76" s="200"/>
      <c r="X76" s="200" t="s">
        <v>12</v>
      </c>
      <c r="Y76" s="200"/>
      <c r="Z76" s="200" t="s">
        <v>13</v>
      </c>
      <c r="AA76" s="200"/>
      <c r="AB76" s="200" t="s">
        <v>14</v>
      </c>
      <c r="AC76" s="200"/>
      <c r="AD76" s="200" t="s">
        <v>15</v>
      </c>
      <c r="AE76" s="200"/>
      <c r="AF76" s="200" t="s">
        <v>16</v>
      </c>
      <c r="AG76" s="200"/>
      <c r="AH76" s="200" t="s">
        <v>17</v>
      </c>
      <c r="AI76" s="200"/>
      <c r="AJ76" s="200" t="s">
        <v>18</v>
      </c>
      <c r="AK76" s="200"/>
      <c r="AL76" s="200" t="s">
        <v>19</v>
      </c>
      <c r="AM76" s="200"/>
      <c r="AN76" s="200" t="s">
        <v>20</v>
      </c>
      <c r="AO76" s="200"/>
      <c r="AP76" s="200" t="s">
        <v>21</v>
      </c>
      <c r="AQ76" s="200"/>
      <c r="AR76" s="200" t="s">
        <v>147</v>
      </c>
      <c r="AS76" s="200"/>
      <c r="AT76" s="200" t="s">
        <v>148</v>
      </c>
      <c r="AU76" s="200"/>
      <c r="AV76" s="200" t="s">
        <v>22</v>
      </c>
      <c r="AW76" s="200"/>
      <c r="AX76" s="200" t="s">
        <v>23</v>
      </c>
      <c r="AY76" s="200"/>
      <c r="AZ76" s="200" t="s">
        <v>332</v>
      </c>
      <c r="BA76" s="200"/>
      <c r="BB76" s="200" t="s">
        <v>24</v>
      </c>
      <c r="BC76" s="200"/>
      <c r="BD76" s="200" t="s">
        <v>25</v>
      </c>
      <c r="BE76" s="200"/>
      <c r="BF76" s="200" t="s">
        <v>26</v>
      </c>
      <c r="BG76" s="200"/>
      <c r="BH76" s="200" t="s">
        <v>27</v>
      </c>
      <c r="BI76" s="200"/>
      <c r="BJ76" s="200" t="s">
        <v>28</v>
      </c>
      <c r="BK76" s="200"/>
      <c r="BL76" s="200" t="s">
        <v>29</v>
      </c>
      <c r="BM76" s="200"/>
      <c r="BN76" s="200" t="s">
        <v>30</v>
      </c>
      <c r="BO76" s="200"/>
      <c r="BP76" s="200" t="s">
        <v>31</v>
      </c>
      <c r="BQ76" s="200"/>
      <c r="BR76" s="200" t="s">
        <v>250</v>
      </c>
      <c r="BS76" s="200"/>
    </row>
    <row r="77" spans="1:71" s="42" customFormat="1" ht="44.25" customHeight="1" x14ac:dyDescent="0.25">
      <c r="A77" s="43"/>
      <c r="B77" s="43" t="s">
        <v>321</v>
      </c>
      <c r="C77" s="43" t="s">
        <v>322</v>
      </c>
      <c r="D77" s="43" t="s">
        <v>321</v>
      </c>
      <c r="E77" s="43" t="s">
        <v>322</v>
      </c>
      <c r="F77" s="43" t="s">
        <v>321</v>
      </c>
      <c r="G77" s="43" t="s">
        <v>322</v>
      </c>
      <c r="H77" s="43" t="s">
        <v>321</v>
      </c>
      <c r="I77" s="43" t="s">
        <v>322</v>
      </c>
      <c r="J77" s="43" t="s">
        <v>321</v>
      </c>
      <c r="K77" s="43" t="s">
        <v>322</v>
      </c>
      <c r="L77" s="43" t="s">
        <v>321</v>
      </c>
      <c r="M77" s="43" t="s">
        <v>322</v>
      </c>
      <c r="N77" s="43" t="s">
        <v>321</v>
      </c>
      <c r="O77" s="43" t="s">
        <v>322</v>
      </c>
      <c r="P77" s="43" t="s">
        <v>321</v>
      </c>
      <c r="Q77" s="43" t="s">
        <v>322</v>
      </c>
      <c r="R77" s="43" t="s">
        <v>321</v>
      </c>
      <c r="S77" s="43" t="s">
        <v>322</v>
      </c>
      <c r="T77" s="43" t="s">
        <v>321</v>
      </c>
      <c r="U77" s="43" t="s">
        <v>322</v>
      </c>
      <c r="V77" s="43" t="s">
        <v>321</v>
      </c>
      <c r="W77" s="43" t="s">
        <v>322</v>
      </c>
      <c r="X77" s="43" t="s">
        <v>321</v>
      </c>
      <c r="Y77" s="43" t="s">
        <v>322</v>
      </c>
      <c r="Z77" s="43" t="s">
        <v>321</v>
      </c>
      <c r="AA77" s="43" t="s">
        <v>322</v>
      </c>
      <c r="AB77" s="43" t="s">
        <v>321</v>
      </c>
      <c r="AC77" s="43" t="s">
        <v>322</v>
      </c>
      <c r="AD77" s="43" t="s">
        <v>321</v>
      </c>
      <c r="AE77" s="43" t="s">
        <v>322</v>
      </c>
      <c r="AF77" s="43" t="s">
        <v>321</v>
      </c>
      <c r="AG77" s="43" t="s">
        <v>322</v>
      </c>
      <c r="AH77" s="43" t="s">
        <v>321</v>
      </c>
      <c r="AI77" s="43" t="s">
        <v>322</v>
      </c>
      <c r="AJ77" s="43" t="s">
        <v>321</v>
      </c>
      <c r="AK77" s="43" t="s">
        <v>322</v>
      </c>
      <c r="AL77" s="43" t="s">
        <v>321</v>
      </c>
      <c r="AM77" s="43" t="s">
        <v>322</v>
      </c>
      <c r="AN77" s="43" t="s">
        <v>321</v>
      </c>
      <c r="AO77" s="43" t="s">
        <v>322</v>
      </c>
      <c r="AP77" s="43" t="s">
        <v>321</v>
      </c>
      <c r="AQ77" s="43" t="s">
        <v>322</v>
      </c>
      <c r="AR77" s="43" t="s">
        <v>321</v>
      </c>
      <c r="AS77" s="43" t="s">
        <v>322</v>
      </c>
      <c r="AT77" s="43" t="s">
        <v>321</v>
      </c>
      <c r="AU77" s="43" t="s">
        <v>322</v>
      </c>
      <c r="AV77" s="43" t="s">
        <v>321</v>
      </c>
      <c r="AW77" s="43" t="s">
        <v>322</v>
      </c>
      <c r="AX77" s="43" t="s">
        <v>321</v>
      </c>
      <c r="AY77" s="43" t="s">
        <v>322</v>
      </c>
      <c r="AZ77" s="43" t="s">
        <v>321</v>
      </c>
      <c r="BA77" s="43" t="s">
        <v>322</v>
      </c>
      <c r="BB77" s="43" t="s">
        <v>321</v>
      </c>
      <c r="BC77" s="43" t="s">
        <v>322</v>
      </c>
      <c r="BD77" s="43" t="s">
        <v>321</v>
      </c>
      <c r="BE77" s="43" t="s">
        <v>322</v>
      </c>
      <c r="BF77" s="43" t="s">
        <v>321</v>
      </c>
      <c r="BG77" s="43" t="s">
        <v>322</v>
      </c>
      <c r="BH77" s="43" t="s">
        <v>321</v>
      </c>
      <c r="BI77" s="43" t="s">
        <v>322</v>
      </c>
      <c r="BJ77" s="43" t="s">
        <v>321</v>
      </c>
      <c r="BK77" s="43" t="s">
        <v>322</v>
      </c>
      <c r="BL77" s="43" t="s">
        <v>321</v>
      </c>
      <c r="BM77" s="43" t="s">
        <v>322</v>
      </c>
      <c r="BN77" s="43" t="s">
        <v>321</v>
      </c>
      <c r="BO77" s="43" t="s">
        <v>322</v>
      </c>
      <c r="BP77" s="43" t="s">
        <v>321</v>
      </c>
      <c r="BQ77" s="43" t="s">
        <v>322</v>
      </c>
      <c r="BR77" s="43" t="s">
        <v>321</v>
      </c>
      <c r="BS77" s="43" t="s">
        <v>322</v>
      </c>
    </row>
    <row r="78" spans="1:71" x14ac:dyDescent="0.25">
      <c r="A78" s="44" t="s">
        <v>338</v>
      </c>
      <c r="B78" s="44">
        <f>B87-B51-B42-B33-B24-B15-B6-B60-B69</f>
        <v>-1</v>
      </c>
      <c r="C78" s="44">
        <f>C87-C51-C42-C33-C24-C15-C6-C60-C69</f>
        <v>0</v>
      </c>
      <c r="D78" s="44"/>
      <c r="E78" s="44"/>
      <c r="F78" s="44"/>
      <c r="G78" s="44"/>
      <c r="H78" s="44">
        <f t="shared" ref="H78:AR78" si="10">H87-H51-H42-H33-H24-H15-H6-H60-H69</f>
        <v>63334</v>
      </c>
      <c r="I78" s="44">
        <f t="shared" si="10"/>
        <v>274094</v>
      </c>
      <c r="J78" s="44">
        <f t="shared" si="10"/>
        <v>10758040</v>
      </c>
      <c r="K78" s="44">
        <f t="shared" si="10"/>
        <v>22959332</v>
      </c>
      <c r="L78" s="44">
        <f t="shared" si="10"/>
        <v>1242154</v>
      </c>
      <c r="M78" s="44">
        <f t="shared" si="10"/>
        <v>5439160</v>
      </c>
      <c r="N78" s="44">
        <f t="shared" si="10"/>
        <v>943284</v>
      </c>
      <c r="O78" s="44">
        <f t="shared" si="10"/>
        <v>4836541</v>
      </c>
      <c r="P78" s="44">
        <f t="shared" si="10"/>
        <v>1978</v>
      </c>
      <c r="Q78" s="44">
        <f t="shared" si="10"/>
        <v>6592</v>
      </c>
      <c r="R78" s="44">
        <f t="shared" si="10"/>
        <v>3244</v>
      </c>
      <c r="S78" s="44">
        <f t="shared" si="10"/>
        <v>4244</v>
      </c>
      <c r="T78" s="44">
        <f t="shared" si="10"/>
        <v>781</v>
      </c>
      <c r="U78" s="44">
        <f t="shared" si="10"/>
        <v>781</v>
      </c>
      <c r="V78" s="44">
        <f t="shared" si="10"/>
        <v>3614815.02</v>
      </c>
      <c r="W78" s="44">
        <f t="shared" si="10"/>
        <v>12475425.98</v>
      </c>
      <c r="X78" s="44">
        <f t="shared" si="10"/>
        <v>2604029</v>
      </c>
      <c r="Y78" s="44">
        <f t="shared" si="10"/>
        <v>6645904</v>
      </c>
      <c r="Z78" s="44">
        <f t="shared" si="10"/>
        <v>61768</v>
      </c>
      <c r="AA78" s="44">
        <f t="shared" si="10"/>
        <v>101921</v>
      </c>
      <c r="AB78" s="44">
        <f t="shared" si="10"/>
        <v>4089909</v>
      </c>
      <c r="AC78" s="44">
        <f t="shared" si="10"/>
        <v>24152126</v>
      </c>
      <c r="AD78" s="44">
        <f t="shared" si="10"/>
        <v>5128204</v>
      </c>
      <c r="AE78" s="44">
        <f t="shared" si="10"/>
        <v>33481620</v>
      </c>
      <c r="AF78" s="44">
        <f t="shared" si="10"/>
        <v>5197758</v>
      </c>
      <c r="AG78" s="44">
        <f t="shared" si="10"/>
        <v>22153340</v>
      </c>
      <c r="AH78" s="44">
        <f t="shared" si="10"/>
        <v>26079</v>
      </c>
      <c r="AI78" s="44">
        <f t="shared" si="10"/>
        <v>111814</v>
      </c>
      <c r="AJ78" s="44">
        <f t="shared" si="10"/>
        <v>170560</v>
      </c>
      <c r="AK78" s="44">
        <f t="shared" si="10"/>
        <v>531254</v>
      </c>
      <c r="AL78" s="44">
        <f t="shared" si="10"/>
        <v>188129</v>
      </c>
      <c r="AM78" s="44">
        <f t="shared" si="10"/>
        <v>356111</v>
      </c>
      <c r="AN78" s="44">
        <f t="shared" si="10"/>
        <v>0</v>
      </c>
      <c r="AO78" s="44">
        <f t="shared" si="10"/>
        <v>0</v>
      </c>
      <c r="AP78" s="44">
        <f t="shared" si="10"/>
        <v>5192048.7925812975</v>
      </c>
      <c r="AQ78" s="44">
        <f t="shared" si="10"/>
        <v>14813600.490928799</v>
      </c>
      <c r="AR78" s="44">
        <f t="shared" si="10"/>
        <v>10224401</v>
      </c>
      <c r="AS78" s="44">
        <v>12578511</v>
      </c>
      <c r="AT78" s="44">
        <f t="shared" ref="AT78:AY78" si="11">AT87-AT51-AT42-AT33-AT24-AT15-AT6-AT60-AT69</f>
        <v>5718751</v>
      </c>
      <c r="AU78" s="44">
        <f t="shared" si="11"/>
        <v>22592413</v>
      </c>
      <c r="AV78" s="44">
        <f t="shared" si="11"/>
        <v>3935</v>
      </c>
      <c r="AW78" s="44">
        <f t="shared" si="11"/>
        <v>24915</v>
      </c>
      <c r="AX78" s="44">
        <f t="shared" si="11"/>
        <v>3615021</v>
      </c>
      <c r="AY78" s="44">
        <f t="shared" si="11"/>
        <v>16148628</v>
      </c>
      <c r="AZ78" s="44"/>
      <c r="BA78" s="44"/>
      <c r="BB78" s="44">
        <f t="shared" ref="BB78:BQ78" si="12">BB87-BB51-BB42-BB33-BB24-BB15-BB6-BB60-BB69</f>
        <v>116586</v>
      </c>
      <c r="BC78" s="44">
        <f t="shared" si="12"/>
        <v>701025</v>
      </c>
      <c r="BD78" s="44">
        <f t="shared" si="12"/>
        <v>475812</v>
      </c>
      <c r="BE78" s="44">
        <f t="shared" si="12"/>
        <v>4233244</v>
      </c>
      <c r="BF78" s="44">
        <f t="shared" si="12"/>
        <v>4206459</v>
      </c>
      <c r="BG78" s="44">
        <f t="shared" si="12"/>
        <v>16540204</v>
      </c>
      <c r="BH78" s="44">
        <f t="shared" si="12"/>
        <v>44484</v>
      </c>
      <c r="BI78" s="44">
        <f t="shared" si="12"/>
        <v>172079</v>
      </c>
      <c r="BJ78" s="44">
        <f t="shared" si="12"/>
        <v>21370455</v>
      </c>
      <c r="BK78" s="44">
        <f t="shared" si="12"/>
        <v>54012925</v>
      </c>
      <c r="BL78" s="44">
        <f t="shared" si="12"/>
        <v>4503346</v>
      </c>
      <c r="BM78" s="44">
        <f t="shared" si="12"/>
        <v>13491349</v>
      </c>
      <c r="BN78" s="44">
        <f t="shared" si="12"/>
        <v>5886578</v>
      </c>
      <c r="BO78" s="44">
        <f t="shared" si="12"/>
        <v>18212355</v>
      </c>
      <c r="BP78" s="44">
        <f t="shared" si="12"/>
        <v>5027056</v>
      </c>
      <c r="BQ78" s="44">
        <f t="shared" si="12"/>
        <v>17826854</v>
      </c>
      <c r="BR78" s="44">
        <f t="shared" ref="BR78:BS82" si="13">B78+D78+F78+H78+J78+L78+N78+P78+R78+T78+V78+X78+Z78+AB78+AD78+AF78+AH78+AJ78+AL78+AN78+AP78+AR78+AT78+AV78+AX78+BB78+BD78+BF78+BH78+BJ78+BL78+BN78+BP78</f>
        <v>100478997.8125813</v>
      </c>
      <c r="BS78" s="44">
        <f t="shared" si="13"/>
        <v>324878362.47092879</v>
      </c>
    </row>
    <row r="79" spans="1:71" x14ac:dyDescent="0.25">
      <c r="A79" s="44" t="s">
        <v>339</v>
      </c>
      <c r="B79" s="44">
        <f t="shared" ref="B79:BM79" si="14">B88-B52-B43-B34-B25-B16-B7-B61-B70</f>
        <v>-9709</v>
      </c>
      <c r="C79" s="44">
        <f t="shared" si="14"/>
        <v>-226774</v>
      </c>
      <c r="D79" s="44">
        <f t="shared" si="14"/>
        <v>0</v>
      </c>
      <c r="E79" s="44">
        <f t="shared" si="14"/>
        <v>0</v>
      </c>
      <c r="F79" s="44">
        <f t="shared" si="14"/>
        <v>4009</v>
      </c>
      <c r="G79" s="44">
        <f t="shared" si="14"/>
        <v>56869</v>
      </c>
      <c r="H79" s="44">
        <f t="shared" si="14"/>
        <v>0</v>
      </c>
      <c r="I79" s="44">
        <f t="shared" si="14"/>
        <v>0</v>
      </c>
      <c r="J79" s="44">
        <f t="shared" si="14"/>
        <v>-74544</v>
      </c>
      <c r="K79" s="44">
        <f t="shared" si="14"/>
        <v>-306534</v>
      </c>
      <c r="L79" s="44">
        <f t="shared" si="14"/>
        <v>0</v>
      </c>
      <c r="M79" s="44">
        <f t="shared" si="14"/>
        <v>20</v>
      </c>
      <c r="N79" s="44">
        <f t="shared" si="14"/>
        <v>0</v>
      </c>
      <c r="O79" s="44">
        <f t="shared" si="14"/>
        <v>0</v>
      </c>
      <c r="P79" s="44">
        <f t="shared" si="14"/>
        <v>0</v>
      </c>
      <c r="Q79" s="44">
        <f t="shared" si="14"/>
        <v>0</v>
      </c>
      <c r="R79" s="44">
        <f t="shared" si="14"/>
        <v>0</v>
      </c>
      <c r="S79" s="44">
        <f t="shared" si="14"/>
        <v>0</v>
      </c>
      <c r="T79" s="44">
        <f t="shared" si="14"/>
        <v>0</v>
      </c>
      <c r="U79" s="44">
        <f t="shared" si="14"/>
        <v>0</v>
      </c>
      <c r="V79" s="44">
        <f t="shared" si="14"/>
        <v>0</v>
      </c>
      <c r="W79" s="44">
        <f t="shared" si="14"/>
        <v>0</v>
      </c>
      <c r="X79" s="44">
        <f t="shared" si="14"/>
        <v>0</v>
      </c>
      <c r="Y79" s="44">
        <f t="shared" si="14"/>
        <v>0</v>
      </c>
      <c r="Z79" s="44">
        <f t="shared" si="14"/>
        <v>1771964</v>
      </c>
      <c r="AA79" s="44">
        <f t="shared" si="14"/>
        <v>1613142</v>
      </c>
      <c r="AB79" s="44">
        <f t="shared" si="14"/>
        <v>12358</v>
      </c>
      <c r="AC79" s="44">
        <f t="shared" si="14"/>
        <v>90684</v>
      </c>
      <c r="AD79" s="44">
        <f t="shared" si="14"/>
        <v>1719</v>
      </c>
      <c r="AE79" s="44">
        <f t="shared" si="14"/>
        <v>112653</v>
      </c>
      <c r="AF79" s="44">
        <f t="shared" si="14"/>
        <v>2952</v>
      </c>
      <c r="AG79" s="44">
        <f t="shared" si="14"/>
        <v>40149</v>
      </c>
      <c r="AH79" s="44">
        <f t="shared" si="14"/>
        <v>0</v>
      </c>
      <c r="AI79" s="44">
        <f t="shared" si="14"/>
        <v>0</v>
      </c>
      <c r="AJ79" s="44">
        <f t="shared" si="14"/>
        <v>-1</v>
      </c>
      <c r="AK79" s="44">
        <f t="shared" si="14"/>
        <v>-1280</v>
      </c>
      <c r="AL79" s="44">
        <f t="shared" si="14"/>
        <v>-73178</v>
      </c>
      <c r="AM79" s="44">
        <f t="shared" si="14"/>
        <v>-439443</v>
      </c>
      <c r="AN79" s="44">
        <f t="shared" si="14"/>
        <v>0</v>
      </c>
      <c r="AO79" s="44">
        <f t="shared" si="14"/>
        <v>0</v>
      </c>
      <c r="AP79" s="44">
        <f t="shared" si="14"/>
        <v>56808.548918999964</v>
      </c>
      <c r="AQ79" s="44">
        <f t="shared" si="14"/>
        <v>120193.69786159962</v>
      </c>
      <c r="AR79" s="44">
        <f t="shared" si="14"/>
        <v>129520</v>
      </c>
      <c r="AS79" s="44">
        <f t="shared" si="14"/>
        <v>1553</v>
      </c>
      <c r="AT79" s="44">
        <f t="shared" si="14"/>
        <v>7402</v>
      </c>
      <c r="AU79" s="44">
        <f t="shared" si="14"/>
        <v>151966</v>
      </c>
      <c r="AV79" s="44">
        <f t="shared" si="14"/>
        <v>35479</v>
      </c>
      <c r="AW79" s="44">
        <f t="shared" si="14"/>
        <v>123366</v>
      </c>
      <c r="AX79" s="44">
        <f t="shared" si="14"/>
        <v>47</v>
      </c>
      <c r="AY79" s="44">
        <f t="shared" si="14"/>
        <v>4794550</v>
      </c>
      <c r="AZ79" s="44">
        <f t="shared" si="14"/>
        <v>0</v>
      </c>
      <c r="BA79" s="44">
        <f t="shared" si="14"/>
        <v>0</v>
      </c>
      <c r="BB79" s="44">
        <f t="shared" si="14"/>
        <v>0</v>
      </c>
      <c r="BC79" s="44">
        <f t="shared" si="14"/>
        <v>0</v>
      </c>
      <c r="BD79" s="44">
        <f t="shared" si="14"/>
        <v>0</v>
      </c>
      <c r="BE79" s="44">
        <f t="shared" si="14"/>
        <v>0</v>
      </c>
      <c r="BF79" s="44">
        <f t="shared" si="14"/>
        <v>0</v>
      </c>
      <c r="BG79" s="44">
        <f t="shared" si="14"/>
        <v>0</v>
      </c>
      <c r="BH79" s="44">
        <f t="shared" si="14"/>
        <v>1</v>
      </c>
      <c r="BI79" s="44">
        <f t="shared" si="14"/>
        <v>0</v>
      </c>
      <c r="BJ79" s="44">
        <f t="shared" si="14"/>
        <v>0</v>
      </c>
      <c r="BK79" s="44">
        <f t="shared" si="14"/>
        <v>0</v>
      </c>
      <c r="BL79" s="44">
        <f t="shared" si="14"/>
        <v>0</v>
      </c>
      <c r="BM79" s="44">
        <f t="shared" si="14"/>
        <v>884</v>
      </c>
      <c r="BN79" s="44">
        <f t="shared" ref="BN79:BQ79" si="15">BN88-BN52-BN43-BN34-BN25-BN16-BN7-BN61-BN70</f>
        <v>-55755</v>
      </c>
      <c r="BO79" s="44">
        <f t="shared" si="15"/>
        <v>61383</v>
      </c>
      <c r="BP79" s="44">
        <f t="shared" si="15"/>
        <v>0</v>
      </c>
      <c r="BQ79" s="44">
        <f t="shared" si="15"/>
        <v>0</v>
      </c>
      <c r="BR79" s="44">
        <f t="shared" si="13"/>
        <v>1809072.548919</v>
      </c>
      <c r="BS79" s="44">
        <f t="shared" si="13"/>
        <v>6193381.6978615997</v>
      </c>
    </row>
    <row r="80" spans="1:71" x14ac:dyDescent="0.25">
      <c r="A80" s="44" t="s">
        <v>340</v>
      </c>
      <c r="B80" s="44">
        <f t="shared" ref="B80:BM80" si="16">B89-B53-B44-B35-B26-B17-B8-B62-B71</f>
        <v>4479</v>
      </c>
      <c r="C80" s="44">
        <f t="shared" si="16"/>
        <v>104665</v>
      </c>
      <c r="D80" s="44">
        <f t="shared" si="16"/>
        <v>0</v>
      </c>
      <c r="E80" s="44">
        <f t="shared" si="16"/>
        <v>0</v>
      </c>
      <c r="F80" s="44">
        <f t="shared" si="16"/>
        <v>7474456</v>
      </c>
      <c r="G80" s="44">
        <f t="shared" si="16"/>
        <v>53480426</v>
      </c>
      <c r="H80" s="44">
        <f t="shared" si="16"/>
        <v>3206</v>
      </c>
      <c r="I80" s="44">
        <f t="shared" si="16"/>
        <v>28546</v>
      </c>
      <c r="J80" s="44">
        <f t="shared" si="16"/>
        <v>8249891</v>
      </c>
      <c r="K80" s="44">
        <f t="shared" si="16"/>
        <v>16754238</v>
      </c>
      <c r="L80" s="44">
        <f t="shared" si="16"/>
        <v>1012784</v>
      </c>
      <c r="M80" s="44">
        <f t="shared" si="16"/>
        <v>4461978</v>
      </c>
      <c r="N80" s="44">
        <f t="shared" si="16"/>
        <v>729399</v>
      </c>
      <c r="O80" s="44">
        <f t="shared" si="16"/>
        <v>3820991</v>
      </c>
      <c r="P80" s="44">
        <f t="shared" si="16"/>
        <v>99</v>
      </c>
      <c r="Q80" s="44">
        <f t="shared" si="16"/>
        <v>329</v>
      </c>
      <c r="R80" s="44">
        <f t="shared" si="16"/>
        <v>-328</v>
      </c>
      <c r="S80" s="44">
        <f t="shared" si="16"/>
        <v>96</v>
      </c>
      <c r="T80" s="44">
        <f t="shared" si="16"/>
        <v>-5534</v>
      </c>
      <c r="U80" s="44">
        <f t="shared" si="16"/>
        <v>40</v>
      </c>
      <c r="V80" s="44">
        <f t="shared" si="16"/>
        <v>964601.28</v>
      </c>
      <c r="W80" s="44">
        <f t="shared" si="16"/>
        <v>3775218.84</v>
      </c>
      <c r="X80" s="44">
        <f t="shared" si="16"/>
        <v>1780860</v>
      </c>
      <c r="Y80" s="44">
        <f t="shared" si="16"/>
        <v>4445666</v>
      </c>
      <c r="Z80" s="44">
        <f t="shared" si="16"/>
        <v>723377</v>
      </c>
      <c r="AA80" s="44">
        <f t="shared" si="16"/>
        <v>328689</v>
      </c>
      <c r="AB80" s="44">
        <f t="shared" si="16"/>
        <v>-3155218</v>
      </c>
      <c r="AC80" s="44">
        <f t="shared" si="16"/>
        <v>-19017599</v>
      </c>
      <c r="AD80" s="44">
        <f t="shared" si="16"/>
        <v>3036814</v>
      </c>
      <c r="AE80" s="44">
        <f t="shared" si="16"/>
        <v>22603908</v>
      </c>
      <c r="AF80" s="44">
        <f t="shared" si="16"/>
        <v>4190554</v>
      </c>
      <c r="AG80" s="44">
        <f t="shared" si="16"/>
        <v>18062931</v>
      </c>
      <c r="AH80" s="44">
        <f t="shared" si="16"/>
        <v>5722</v>
      </c>
      <c r="AI80" s="44">
        <f t="shared" si="16"/>
        <v>22771</v>
      </c>
      <c r="AJ80" s="44">
        <f t="shared" si="16"/>
        <v>51317</v>
      </c>
      <c r="AK80" s="44">
        <f t="shared" si="16"/>
        <v>12843</v>
      </c>
      <c r="AL80" s="44">
        <f t="shared" si="16"/>
        <v>191678</v>
      </c>
      <c r="AM80" s="44">
        <f t="shared" si="16"/>
        <v>962440</v>
      </c>
      <c r="AN80" s="44">
        <f t="shared" si="16"/>
        <v>0</v>
      </c>
      <c r="AO80" s="44">
        <f t="shared" si="16"/>
        <v>0</v>
      </c>
      <c r="AP80" s="44">
        <f t="shared" si="16"/>
        <v>3766732.0421752962</v>
      </c>
      <c r="AQ80" s="44">
        <f t="shared" si="16"/>
        <v>8313880.5824891981</v>
      </c>
      <c r="AR80" s="44">
        <f t="shared" si="16"/>
        <v>6158284</v>
      </c>
      <c r="AS80" s="44">
        <f t="shared" si="16"/>
        <v>11724183</v>
      </c>
      <c r="AT80" s="44">
        <f t="shared" si="16"/>
        <v>3483871</v>
      </c>
      <c r="AU80" s="44">
        <f t="shared" si="16"/>
        <v>14348274</v>
      </c>
      <c r="AV80" s="44">
        <f t="shared" si="16"/>
        <v>44267</v>
      </c>
      <c r="AW80" s="44">
        <f t="shared" si="16"/>
        <v>144457</v>
      </c>
      <c r="AX80" s="44">
        <f t="shared" si="16"/>
        <v>-2028087</v>
      </c>
      <c r="AY80" s="44">
        <f t="shared" si="16"/>
        <v>11472448</v>
      </c>
      <c r="AZ80" s="44">
        <f t="shared" si="16"/>
        <v>0</v>
      </c>
      <c r="BA80" s="44">
        <f t="shared" si="16"/>
        <v>0</v>
      </c>
      <c r="BB80" s="44">
        <f t="shared" si="16"/>
        <v>33242</v>
      </c>
      <c r="BC80" s="44">
        <f t="shared" si="16"/>
        <v>197943</v>
      </c>
      <c r="BD80" s="44">
        <f t="shared" si="16"/>
        <v>-177836</v>
      </c>
      <c r="BE80" s="44">
        <f t="shared" si="16"/>
        <v>-3340252</v>
      </c>
      <c r="BF80" s="44">
        <f t="shared" si="16"/>
        <v>3283893</v>
      </c>
      <c r="BG80" s="44">
        <f t="shared" si="16"/>
        <v>12990439</v>
      </c>
      <c r="BH80" s="44">
        <f t="shared" si="16"/>
        <v>7801</v>
      </c>
      <c r="BI80" s="44">
        <f t="shared" si="16"/>
        <v>36514</v>
      </c>
      <c r="BJ80" s="44">
        <f t="shared" si="16"/>
        <v>5013378</v>
      </c>
      <c r="BK80" s="44">
        <f t="shared" si="16"/>
        <v>12725828</v>
      </c>
      <c r="BL80" s="44">
        <f t="shared" si="16"/>
        <v>2423816</v>
      </c>
      <c r="BM80" s="44">
        <f t="shared" si="16"/>
        <v>7523668</v>
      </c>
      <c r="BN80" s="44">
        <f t="shared" ref="BN80:BQ80" si="17">BN89-BN53-BN44-BN35-BN26-BN17-BN8-BN62-BN71</f>
        <v>3420483</v>
      </c>
      <c r="BO80" s="44">
        <f t="shared" si="17"/>
        <v>10051496</v>
      </c>
      <c r="BP80" s="44">
        <f t="shared" si="17"/>
        <v>3799232</v>
      </c>
      <c r="BQ80" s="44">
        <f t="shared" si="17"/>
        <v>13098739</v>
      </c>
      <c r="BR80" s="44">
        <f t="shared" si="13"/>
        <v>54487233.322175294</v>
      </c>
      <c r="BS80" s="44">
        <f t="shared" si="13"/>
        <v>209135794.4224892</v>
      </c>
    </row>
    <row r="81" spans="1:71" x14ac:dyDescent="0.25">
      <c r="A81" s="44" t="s">
        <v>188</v>
      </c>
      <c r="B81" s="44"/>
      <c r="C81" s="44"/>
      <c r="D81" s="44"/>
      <c r="E81" s="44"/>
      <c r="F81" s="44"/>
      <c r="G81" s="44"/>
      <c r="H81" s="44">
        <f t="shared" ref="H81:AR81" si="18">H90-H54-H45-H36-H27-H18-H9-H63-H72</f>
        <v>60128</v>
      </c>
      <c r="I81" s="44">
        <f t="shared" si="18"/>
        <v>245548</v>
      </c>
      <c r="J81" s="44">
        <f t="shared" si="18"/>
        <v>2507979</v>
      </c>
      <c r="K81" s="44">
        <f t="shared" si="18"/>
        <v>6209547</v>
      </c>
      <c r="L81" s="44">
        <f t="shared" si="18"/>
        <v>229373</v>
      </c>
      <c r="M81" s="44">
        <f t="shared" si="18"/>
        <v>977203</v>
      </c>
      <c r="N81" s="44">
        <f t="shared" si="18"/>
        <v>213885</v>
      </c>
      <c r="O81" s="44">
        <f t="shared" si="18"/>
        <v>1015550</v>
      </c>
      <c r="P81" s="44">
        <f t="shared" si="18"/>
        <v>1879</v>
      </c>
      <c r="Q81" s="44">
        <f t="shared" si="18"/>
        <v>6264</v>
      </c>
      <c r="R81" s="44">
        <f t="shared" si="18"/>
        <v>2916</v>
      </c>
      <c r="S81" s="44">
        <f t="shared" si="18"/>
        <v>3800</v>
      </c>
      <c r="T81" s="44">
        <f t="shared" si="18"/>
        <v>0</v>
      </c>
      <c r="U81" s="44">
        <f t="shared" si="18"/>
        <v>0</v>
      </c>
      <c r="V81" s="44">
        <f t="shared" si="18"/>
        <v>2650213.7400000002</v>
      </c>
      <c r="W81" s="44">
        <f t="shared" si="18"/>
        <v>8700207.1400000006</v>
      </c>
      <c r="X81" s="44">
        <f t="shared" si="18"/>
        <v>823169</v>
      </c>
      <c r="Y81" s="44">
        <f t="shared" si="18"/>
        <v>2200238</v>
      </c>
      <c r="Z81" s="44">
        <f t="shared" si="18"/>
        <v>1087974</v>
      </c>
      <c r="AA81" s="44">
        <f t="shared" si="18"/>
        <v>1346548</v>
      </c>
      <c r="AB81" s="44">
        <f t="shared" si="18"/>
        <v>947049</v>
      </c>
      <c r="AC81" s="44">
        <f t="shared" si="18"/>
        <v>5225209</v>
      </c>
      <c r="AD81" s="44">
        <f t="shared" si="18"/>
        <v>2093109</v>
      </c>
      <c r="AE81" s="44">
        <f t="shared" si="18"/>
        <v>10990365</v>
      </c>
      <c r="AF81" s="44">
        <f t="shared" si="18"/>
        <v>1010156</v>
      </c>
      <c r="AG81" s="44">
        <f t="shared" si="18"/>
        <v>4130558</v>
      </c>
      <c r="AH81" s="44">
        <f t="shared" si="18"/>
        <v>20357</v>
      </c>
      <c r="AI81" s="44">
        <f t="shared" si="18"/>
        <v>89043</v>
      </c>
      <c r="AJ81" s="44">
        <f t="shared" si="18"/>
        <v>119244</v>
      </c>
      <c r="AK81" s="44">
        <f t="shared" si="18"/>
        <v>337521</v>
      </c>
      <c r="AL81" s="44">
        <f t="shared" si="18"/>
        <v>8749</v>
      </c>
      <c r="AM81" s="44">
        <f t="shared" si="18"/>
        <v>25544</v>
      </c>
      <c r="AN81" s="44">
        <f t="shared" si="18"/>
        <v>0</v>
      </c>
      <c r="AO81" s="44">
        <f t="shared" si="18"/>
        <v>0</v>
      </c>
      <c r="AP81" s="44">
        <f t="shared" si="18"/>
        <v>1482125.2993249996</v>
      </c>
      <c r="AQ81" s="44">
        <f t="shared" si="18"/>
        <v>6619913.6063011959</v>
      </c>
      <c r="AR81" s="44">
        <f t="shared" si="18"/>
        <v>4195637</v>
      </c>
      <c r="AS81" s="44">
        <v>6884643</v>
      </c>
      <c r="AT81" s="44">
        <f t="shared" ref="AT81:AY82" si="19">AT90-AT54-AT45-AT36-AT27-AT18-AT9-AT63-AT72</f>
        <v>2242282</v>
      </c>
      <c r="AU81" s="44">
        <f t="shared" si="19"/>
        <v>8396105</v>
      </c>
      <c r="AV81" s="44">
        <f t="shared" si="19"/>
        <v>127</v>
      </c>
      <c r="AW81" s="44">
        <f t="shared" si="19"/>
        <v>2251</v>
      </c>
      <c r="AX81" s="44">
        <f t="shared" si="19"/>
        <v>-692379</v>
      </c>
      <c r="AY81" s="44">
        <f t="shared" si="19"/>
        <v>-5503304</v>
      </c>
      <c r="AZ81" s="44"/>
      <c r="BA81" s="44"/>
      <c r="BB81" s="44">
        <f t="shared" ref="BB81:BQ81" si="20">BB90-BB54-BB45-BB36-BB27-BB18-BB9-BB63-BB72</f>
        <v>83344</v>
      </c>
      <c r="BC81" s="44">
        <f t="shared" si="20"/>
        <v>503083</v>
      </c>
      <c r="BD81" s="44">
        <f t="shared" si="20"/>
        <v>297976</v>
      </c>
      <c r="BE81" s="44">
        <f t="shared" si="20"/>
        <v>892992</v>
      </c>
      <c r="BF81" s="44">
        <f t="shared" si="20"/>
        <v>922566</v>
      </c>
      <c r="BG81" s="44">
        <f t="shared" si="20"/>
        <v>3549765</v>
      </c>
      <c r="BH81" s="44">
        <f t="shared" si="20"/>
        <v>36685</v>
      </c>
      <c r="BI81" s="44">
        <f t="shared" si="20"/>
        <v>135565</v>
      </c>
      <c r="BJ81" s="44">
        <f t="shared" si="20"/>
        <v>16357077</v>
      </c>
      <c r="BK81" s="44">
        <f t="shared" si="20"/>
        <v>41287097</v>
      </c>
      <c r="BL81" s="44">
        <f t="shared" si="20"/>
        <v>2079530</v>
      </c>
      <c r="BM81" s="44">
        <f t="shared" si="20"/>
        <v>5968565</v>
      </c>
      <c r="BN81" s="44">
        <f t="shared" si="20"/>
        <v>2410340</v>
      </c>
      <c r="BO81" s="44">
        <f t="shared" si="20"/>
        <v>8222242</v>
      </c>
      <c r="BP81" s="44">
        <f t="shared" si="20"/>
        <v>1227824</v>
      </c>
      <c r="BQ81" s="44">
        <f t="shared" si="20"/>
        <v>4728115</v>
      </c>
      <c r="BR81" s="44">
        <f t="shared" si="13"/>
        <v>42419315.039324999</v>
      </c>
      <c r="BS81" s="44">
        <f t="shared" si="13"/>
        <v>123190177.7463012</v>
      </c>
    </row>
    <row r="82" spans="1:71" x14ac:dyDescent="0.25">
      <c r="A82" s="44" t="s">
        <v>341</v>
      </c>
      <c r="B82" s="44">
        <f>B91-B55-B46-B37-B28-B19-B10-B64-B73</f>
        <v>29346</v>
      </c>
      <c r="C82" s="44">
        <f>C91-C55-C46-C37-C28-C19-C10-C64-C73</f>
        <v>48688</v>
      </c>
      <c r="D82" s="44"/>
      <c r="E82" s="44"/>
      <c r="F82" s="45"/>
      <c r="G82" s="45"/>
      <c r="H82" s="44">
        <f t="shared" ref="H82:AR82" si="21">H91-H55-H46-H37-H28-H19-H10-H64-H73</f>
        <v>59541</v>
      </c>
      <c r="I82" s="44">
        <f t="shared" si="21"/>
        <v>242504</v>
      </c>
      <c r="J82" s="44">
        <f t="shared" si="21"/>
        <v>2180325</v>
      </c>
      <c r="K82" s="44">
        <f t="shared" si="21"/>
        <v>5932979</v>
      </c>
      <c r="L82" s="44">
        <f t="shared" si="21"/>
        <v>179026</v>
      </c>
      <c r="M82" s="44">
        <f t="shared" si="21"/>
        <v>977095</v>
      </c>
      <c r="N82" s="44">
        <f t="shared" si="21"/>
        <v>240429</v>
      </c>
      <c r="O82" s="44">
        <f t="shared" si="21"/>
        <v>831381</v>
      </c>
      <c r="P82" s="44">
        <f t="shared" si="21"/>
        <v>941</v>
      </c>
      <c r="Q82" s="44">
        <f t="shared" si="21"/>
        <v>3132</v>
      </c>
      <c r="R82" s="44">
        <f t="shared" si="21"/>
        <v>1375</v>
      </c>
      <c r="S82" s="44">
        <f t="shared" si="21"/>
        <v>1784</v>
      </c>
      <c r="T82" s="44">
        <f t="shared" si="21"/>
        <v>6259</v>
      </c>
      <c r="U82" s="44">
        <f t="shared" si="21"/>
        <v>688</v>
      </c>
      <c r="V82" s="44">
        <f t="shared" si="21"/>
        <v>2630855.4300000002</v>
      </c>
      <c r="W82" s="44">
        <f t="shared" si="21"/>
        <v>8544228.0399999991</v>
      </c>
      <c r="X82" s="44">
        <f t="shared" si="21"/>
        <v>704886</v>
      </c>
      <c r="Y82" s="44">
        <f t="shared" si="21"/>
        <v>1885270</v>
      </c>
      <c r="Z82" s="44">
        <f t="shared" si="21"/>
        <v>1102052</v>
      </c>
      <c r="AA82" s="44">
        <f t="shared" si="21"/>
        <v>1285680</v>
      </c>
      <c r="AB82" s="44">
        <f t="shared" si="21"/>
        <v>828532</v>
      </c>
      <c r="AC82" s="44">
        <f t="shared" si="21"/>
        <v>5101103</v>
      </c>
      <c r="AD82" s="44">
        <f t="shared" si="21"/>
        <v>2218575</v>
      </c>
      <c r="AE82" s="44">
        <f t="shared" si="21"/>
        <v>10059172</v>
      </c>
      <c r="AF82" s="44">
        <f t="shared" si="21"/>
        <v>915634</v>
      </c>
      <c r="AG82" s="44">
        <f t="shared" si="21"/>
        <v>4173290</v>
      </c>
      <c r="AH82" s="44">
        <f t="shared" si="21"/>
        <v>4538</v>
      </c>
      <c r="AI82" s="44">
        <f t="shared" si="21"/>
        <v>7284</v>
      </c>
      <c r="AJ82" s="44">
        <f t="shared" si="21"/>
        <v>93987</v>
      </c>
      <c r="AK82" s="44">
        <f t="shared" si="21"/>
        <v>271451</v>
      </c>
      <c r="AL82" s="44">
        <f t="shared" si="21"/>
        <v>6221</v>
      </c>
      <c r="AM82" s="44">
        <f t="shared" si="21"/>
        <v>28586</v>
      </c>
      <c r="AN82" s="44">
        <f t="shared" si="21"/>
        <v>-1</v>
      </c>
      <c r="AO82" s="44">
        <f t="shared" si="21"/>
        <v>0</v>
      </c>
      <c r="AP82" s="44">
        <f t="shared" si="21"/>
        <v>2667239.7303749989</v>
      </c>
      <c r="AQ82" s="44">
        <f t="shared" si="21"/>
        <v>6876573.7518511824</v>
      </c>
      <c r="AR82" s="44">
        <f t="shared" si="21"/>
        <v>4442117</v>
      </c>
      <c r="AS82" s="44">
        <v>6024570</v>
      </c>
      <c r="AT82" s="44">
        <f t="shared" si="19"/>
        <v>3816258</v>
      </c>
      <c r="AU82" s="44">
        <f t="shared" si="19"/>
        <v>9659612</v>
      </c>
      <c r="AV82" s="44">
        <f t="shared" si="19"/>
        <v>461</v>
      </c>
      <c r="AW82" s="44">
        <f t="shared" si="19"/>
        <v>2427</v>
      </c>
      <c r="AX82" s="44">
        <f t="shared" si="19"/>
        <v>-1370028</v>
      </c>
      <c r="AY82" s="44">
        <f t="shared" si="19"/>
        <v>-4668994</v>
      </c>
      <c r="AZ82" s="44"/>
      <c r="BA82" s="44"/>
      <c r="BB82" s="44">
        <f t="shared" ref="BB82:BQ82" si="22">BB91-BB55-BB46-BB37-BB28-BB19-BB10-BB64-BB73</f>
        <v>84931</v>
      </c>
      <c r="BC82" s="44">
        <f t="shared" si="22"/>
        <v>494820</v>
      </c>
      <c r="BD82" s="44">
        <f t="shared" si="22"/>
        <v>296158</v>
      </c>
      <c r="BE82" s="44">
        <f t="shared" si="22"/>
        <v>884731</v>
      </c>
      <c r="BF82" s="44">
        <f t="shared" si="22"/>
        <v>727375</v>
      </c>
      <c r="BG82" s="44">
        <f t="shared" si="22"/>
        <v>3022741</v>
      </c>
      <c r="BH82" s="44">
        <f t="shared" si="22"/>
        <v>28934</v>
      </c>
      <c r="BI82" s="44">
        <f t="shared" si="22"/>
        <v>110256</v>
      </c>
      <c r="BJ82" s="44">
        <f t="shared" si="22"/>
        <v>14493702</v>
      </c>
      <c r="BK82" s="44">
        <f t="shared" si="22"/>
        <v>36623738</v>
      </c>
      <c r="BL82" s="44">
        <f t="shared" si="22"/>
        <v>2024968</v>
      </c>
      <c r="BM82" s="44">
        <f t="shared" si="22"/>
        <v>5827315</v>
      </c>
      <c r="BN82" s="44">
        <f t="shared" si="22"/>
        <v>3306282</v>
      </c>
      <c r="BO82" s="44">
        <f t="shared" si="22"/>
        <v>9106165</v>
      </c>
      <c r="BP82" s="44">
        <f t="shared" si="22"/>
        <v>1032797</v>
      </c>
      <c r="BQ82" s="44">
        <f t="shared" si="22"/>
        <v>4637136</v>
      </c>
      <c r="BR82" s="44">
        <f t="shared" si="13"/>
        <v>42753716.160374999</v>
      </c>
      <c r="BS82" s="44">
        <f t="shared" si="13"/>
        <v>117995405.79185118</v>
      </c>
    </row>
    <row r="84" spans="1:71" s="8" customFormat="1" x14ac:dyDescent="0.25">
      <c r="A84" s="7" t="s">
        <v>61</v>
      </c>
    </row>
    <row r="85" spans="1:71" s="15" customFormat="1" x14ac:dyDescent="0.25">
      <c r="A85" s="23" t="s">
        <v>0</v>
      </c>
      <c r="B85" s="200" t="s">
        <v>1</v>
      </c>
      <c r="C85" s="200"/>
      <c r="D85" s="200" t="s">
        <v>2</v>
      </c>
      <c r="E85" s="200"/>
      <c r="F85" s="200" t="s">
        <v>3</v>
      </c>
      <c r="G85" s="200"/>
      <c r="H85" s="200" t="s">
        <v>4</v>
      </c>
      <c r="I85" s="200"/>
      <c r="J85" s="200" t="s">
        <v>5</v>
      </c>
      <c r="K85" s="200"/>
      <c r="L85" s="200" t="s">
        <v>6</v>
      </c>
      <c r="M85" s="200"/>
      <c r="N85" s="200" t="s">
        <v>7</v>
      </c>
      <c r="O85" s="200"/>
      <c r="P85" s="200" t="s">
        <v>8</v>
      </c>
      <c r="Q85" s="200"/>
      <c r="R85" s="200" t="s">
        <v>9</v>
      </c>
      <c r="S85" s="200"/>
      <c r="T85" s="200" t="s">
        <v>10</v>
      </c>
      <c r="U85" s="200"/>
      <c r="V85" s="200" t="s">
        <v>11</v>
      </c>
      <c r="W85" s="200"/>
      <c r="X85" s="200" t="s">
        <v>12</v>
      </c>
      <c r="Y85" s="200"/>
      <c r="Z85" s="200" t="s">
        <v>13</v>
      </c>
      <c r="AA85" s="200"/>
      <c r="AB85" s="200" t="s">
        <v>14</v>
      </c>
      <c r="AC85" s="200"/>
      <c r="AD85" s="200" t="s">
        <v>15</v>
      </c>
      <c r="AE85" s="200"/>
      <c r="AF85" s="200" t="s">
        <v>16</v>
      </c>
      <c r="AG85" s="200"/>
      <c r="AH85" s="200" t="s">
        <v>17</v>
      </c>
      <c r="AI85" s="200"/>
      <c r="AJ85" s="200" t="s">
        <v>18</v>
      </c>
      <c r="AK85" s="200"/>
      <c r="AL85" s="200" t="s">
        <v>19</v>
      </c>
      <c r="AM85" s="200"/>
      <c r="AN85" s="200" t="s">
        <v>20</v>
      </c>
      <c r="AO85" s="200"/>
      <c r="AP85" s="200" t="s">
        <v>21</v>
      </c>
      <c r="AQ85" s="200"/>
      <c r="AR85" s="200" t="s">
        <v>147</v>
      </c>
      <c r="AS85" s="200"/>
      <c r="AT85" s="200" t="s">
        <v>148</v>
      </c>
      <c r="AU85" s="200"/>
      <c r="AV85" s="200" t="s">
        <v>22</v>
      </c>
      <c r="AW85" s="200"/>
      <c r="AX85" s="200" t="s">
        <v>23</v>
      </c>
      <c r="AY85" s="200"/>
      <c r="AZ85" s="200" t="s">
        <v>332</v>
      </c>
      <c r="BA85" s="200"/>
      <c r="BB85" s="200" t="s">
        <v>24</v>
      </c>
      <c r="BC85" s="200"/>
      <c r="BD85" s="200" t="s">
        <v>25</v>
      </c>
      <c r="BE85" s="200"/>
      <c r="BF85" s="200" t="s">
        <v>26</v>
      </c>
      <c r="BG85" s="200"/>
      <c r="BH85" s="200" t="s">
        <v>27</v>
      </c>
      <c r="BI85" s="200"/>
      <c r="BJ85" s="200" t="s">
        <v>28</v>
      </c>
      <c r="BK85" s="200"/>
      <c r="BL85" s="200" t="s">
        <v>29</v>
      </c>
      <c r="BM85" s="200"/>
      <c r="BN85" s="200" t="s">
        <v>30</v>
      </c>
      <c r="BO85" s="200"/>
      <c r="BP85" s="200" t="s">
        <v>31</v>
      </c>
      <c r="BQ85" s="200"/>
      <c r="BR85" s="200" t="s">
        <v>250</v>
      </c>
      <c r="BS85" s="200"/>
    </row>
    <row r="86" spans="1:71" s="42" customFormat="1" ht="44.25" customHeight="1" x14ac:dyDescent="0.25">
      <c r="A86" s="43"/>
      <c r="B86" s="43" t="s">
        <v>321</v>
      </c>
      <c r="C86" s="43" t="s">
        <v>322</v>
      </c>
      <c r="D86" s="43" t="s">
        <v>321</v>
      </c>
      <c r="E86" s="43" t="s">
        <v>322</v>
      </c>
      <c r="F86" s="43" t="s">
        <v>321</v>
      </c>
      <c r="G86" s="43" t="s">
        <v>322</v>
      </c>
      <c r="H86" s="43" t="s">
        <v>321</v>
      </c>
      <c r="I86" s="43" t="s">
        <v>322</v>
      </c>
      <c r="J86" s="43" t="s">
        <v>321</v>
      </c>
      <c r="K86" s="43" t="s">
        <v>322</v>
      </c>
      <c r="L86" s="43" t="s">
        <v>321</v>
      </c>
      <c r="M86" s="43" t="s">
        <v>322</v>
      </c>
      <c r="N86" s="43" t="s">
        <v>321</v>
      </c>
      <c r="O86" s="43" t="s">
        <v>322</v>
      </c>
      <c r="P86" s="43" t="s">
        <v>321</v>
      </c>
      <c r="Q86" s="43" t="s">
        <v>322</v>
      </c>
      <c r="R86" s="43" t="s">
        <v>321</v>
      </c>
      <c r="S86" s="43" t="s">
        <v>322</v>
      </c>
      <c r="T86" s="43" t="s">
        <v>321</v>
      </c>
      <c r="U86" s="43" t="s">
        <v>322</v>
      </c>
      <c r="V86" s="43" t="s">
        <v>321</v>
      </c>
      <c r="W86" s="43" t="s">
        <v>322</v>
      </c>
      <c r="X86" s="43" t="s">
        <v>321</v>
      </c>
      <c r="Y86" s="43" t="s">
        <v>322</v>
      </c>
      <c r="Z86" s="43" t="s">
        <v>321</v>
      </c>
      <c r="AA86" s="43" t="s">
        <v>322</v>
      </c>
      <c r="AB86" s="43" t="s">
        <v>321</v>
      </c>
      <c r="AC86" s="43" t="s">
        <v>322</v>
      </c>
      <c r="AD86" s="43" t="s">
        <v>321</v>
      </c>
      <c r="AE86" s="43" t="s">
        <v>322</v>
      </c>
      <c r="AF86" s="43" t="s">
        <v>321</v>
      </c>
      <c r="AG86" s="43" t="s">
        <v>322</v>
      </c>
      <c r="AH86" s="43" t="s">
        <v>321</v>
      </c>
      <c r="AI86" s="43" t="s">
        <v>322</v>
      </c>
      <c r="AJ86" s="43" t="s">
        <v>321</v>
      </c>
      <c r="AK86" s="43" t="s">
        <v>322</v>
      </c>
      <c r="AL86" s="43" t="s">
        <v>321</v>
      </c>
      <c r="AM86" s="43" t="s">
        <v>322</v>
      </c>
      <c r="AN86" s="43" t="s">
        <v>321</v>
      </c>
      <c r="AO86" s="43" t="s">
        <v>322</v>
      </c>
      <c r="AP86" s="43" t="s">
        <v>321</v>
      </c>
      <c r="AQ86" s="43" t="s">
        <v>322</v>
      </c>
      <c r="AR86" s="43" t="s">
        <v>321</v>
      </c>
      <c r="AS86" s="43" t="s">
        <v>322</v>
      </c>
      <c r="AT86" s="43" t="s">
        <v>321</v>
      </c>
      <c r="AU86" s="43" t="s">
        <v>322</v>
      </c>
      <c r="AV86" s="43" t="s">
        <v>321</v>
      </c>
      <c r="AW86" s="43" t="s">
        <v>322</v>
      </c>
      <c r="AX86" s="43" t="s">
        <v>321</v>
      </c>
      <c r="AY86" s="43" t="s">
        <v>322</v>
      </c>
      <c r="AZ86" s="43" t="s">
        <v>321</v>
      </c>
      <c r="BA86" s="43" t="s">
        <v>322</v>
      </c>
      <c r="BB86" s="43" t="s">
        <v>321</v>
      </c>
      <c r="BC86" s="43" t="s">
        <v>322</v>
      </c>
      <c r="BD86" s="43" t="s">
        <v>321</v>
      </c>
      <c r="BE86" s="43" t="s">
        <v>322</v>
      </c>
      <c r="BF86" s="43" t="s">
        <v>321</v>
      </c>
      <c r="BG86" s="43" t="s">
        <v>322</v>
      </c>
      <c r="BH86" s="43" t="s">
        <v>321</v>
      </c>
      <c r="BI86" s="43" t="s">
        <v>322</v>
      </c>
      <c r="BJ86" s="43" t="s">
        <v>321</v>
      </c>
      <c r="BK86" s="43" t="s">
        <v>322</v>
      </c>
      <c r="BL86" s="43" t="s">
        <v>321</v>
      </c>
      <c r="BM86" s="43" t="s">
        <v>322</v>
      </c>
      <c r="BN86" s="43" t="s">
        <v>321</v>
      </c>
      <c r="BO86" s="43" t="s">
        <v>322</v>
      </c>
      <c r="BP86" s="43" t="s">
        <v>321</v>
      </c>
      <c r="BQ86" s="43" t="s">
        <v>322</v>
      </c>
      <c r="BR86" s="43" t="s">
        <v>321</v>
      </c>
      <c r="BS86" s="43" t="s">
        <v>322</v>
      </c>
    </row>
    <row r="87" spans="1:71" x14ac:dyDescent="0.25">
      <c r="A87" s="44" t="s">
        <v>338</v>
      </c>
      <c r="B87" s="44">
        <v>530003</v>
      </c>
      <c r="C87" s="44">
        <v>1418900</v>
      </c>
      <c r="D87" s="44">
        <v>1812652</v>
      </c>
      <c r="E87" s="44">
        <v>4968026</v>
      </c>
      <c r="F87" s="44">
        <v>9645149</v>
      </c>
      <c r="G87" s="44">
        <v>69008757</v>
      </c>
      <c r="H87" s="44">
        <v>9065262</v>
      </c>
      <c r="I87" s="44">
        <v>21944394</v>
      </c>
      <c r="J87" s="137">
        <v>33940231</v>
      </c>
      <c r="K87" s="137">
        <v>110594112</v>
      </c>
      <c r="L87" s="44">
        <v>6173969</v>
      </c>
      <c r="M87" s="44">
        <v>22580493</v>
      </c>
      <c r="N87" s="44">
        <v>12595325</v>
      </c>
      <c r="O87" s="44">
        <v>44281599</v>
      </c>
      <c r="P87" s="44">
        <v>1290603</v>
      </c>
      <c r="Q87" s="44">
        <v>4848222</v>
      </c>
      <c r="R87" s="44">
        <v>336255</v>
      </c>
      <c r="S87" s="44">
        <v>2430678</v>
      </c>
      <c r="T87" s="44">
        <v>360129</v>
      </c>
      <c r="U87" s="44">
        <v>925481</v>
      </c>
      <c r="V87" s="50">
        <v>3614815.02</v>
      </c>
      <c r="W87" s="44">
        <v>12475425.98</v>
      </c>
      <c r="X87" s="44">
        <v>8084971</v>
      </c>
      <c r="Y87" s="44">
        <v>25539377</v>
      </c>
      <c r="Z87" s="44">
        <v>3654744</v>
      </c>
      <c r="AA87" s="44">
        <v>8948165</v>
      </c>
      <c r="AB87" s="44">
        <v>20727826</v>
      </c>
      <c r="AC87" s="44">
        <v>86128508</v>
      </c>
      <c r="AD87" s="44">
        <v>34849223</v>
      </c>
      <c r="AE87" s="44">
        <v>144882275</v>
      </c>
      <c r="AF87" s="44">
        <v>18436137</v>
      </c>
      <c r="AG87" s="44">
        <v>70018438</v>
      </c>
      <c r="AH87" s="44">
        <v>935383</v>
      </c>
      <c r="AI87" s="44">
        <v>3011099</v>
      </c>
      <c r="AJ87" s="44">
        <v>3169056</v>
      </c>
      <c r="AK87" s="44">
        <v>11251602</v>
      </c>
      <c r="AL87" s="44">
        <v>3458941</v>
      </c>
      <c r="AM87" s="44">
        <v>9701115</v>
      </c>
      <c r="AN87" s="44">
        <v>3202957</v>
      </c>
      <c r="AO87" s="44">
        <v>9470157</v>
      </c>
      <c r="AP87" s="44">
        <v>44987356.365260139</v>
      </c>
      <c r="AQ87" s="44">
        <v>151799378.33818725</v>
      </c>
      <c r="AR87" s="44">
        <v>80983589</v>
      </c>
      <c r="AS87" s="44">
        <v>266079909</v>
      </c>
      <c r="AT87" s="44">
        <v>37057398</v>
      </c>
      <c r="AU87" s="44">
        <v>134847496</v>
      </c>
      <c r="AV87" s="44">
        <v>415205</v>
      </c>
      <c r="AW87" s="44">
        <v>1159642</v>
      </c>
      <c r="AX87" s="44">
        <v>13166584</v>
      </c>
      <c r="AY87" s="44">
        <v>61910264</v>
      </c>
      <c r="AZ87" s="44">
        <v>35429</v>
      </c>
      <c r="BA87" s="44">
        <v>40895</v>
      </c>
      <c r="BB87" s="44">
        <v>4973550</v>
      </c>
      <c r="BC87" s="44">
        <v>18255745</v>
      </c>
      <c r="BD87" s="116">
        <v>7361496</v>
      </c>
      <c r="BE87" s="116">
        <v>31725705</v>
      </c>
      <c r="BF87" s="44">
        <v>13766710</v>
      </c>
      <c r="BG87" s="44">
        <v>47065468</v>
      </c>
      <c r="BH87" s="44">
        <v>6928728</v>
      </c>
      <c r="BI87" s="44">
        <v>23563441</v>
      </c>
      <c r="BJ87" s="44">
        <v>21370455</v>
      </c>
      <c r="BK87" s="44">
        <v>54012925</v>
      </c>
      <c r="BL87" s="44">
        <v>20691133</v>
      </c>
      <c r="BM87" s="44">
        <v>77426575</v>
      </c>
      <c r="BN87" s="44">
        <v>50399142</v>
      </c>
      <c r="BO87" s="44">
        <v>164204700</v>
      </c>
      <c r="BP87" s="44">
        <v>8165708</v>
      </c>
      <c r="BQ87" s="44">
        <v>28308675</v>
      </c>
      <c r="BR87" s="44">
        <f t="shared" ref="BR87:BS91" si="23">B87+D87+F87+H87+J87+L87+N87+P87+R87+T87+V87+X87+Z87+AB87+AD87+AF87+AH87+AJ87+AL87+AN87+AP87+AR87+AT87+AV87+AX87+BB87+BD87+BF87+BH87+BJ87+BL87+BN87+BP87</f>
        <v>486150685.38526011</v>
      </c>
      <c r="BS87" s="44">
        <f t="shared" si="23"/>
        <v>1724786747.3181872</v>
      </c>
    </row>
    <row r="88" spans="1:71" x14ac:dyDescent="0.25">
      <c r="A88" s="44" t="s">
        <v>339</v>
      </c>
      <c r="B88" s="44"/>
      <c r="C88" s="44"/>
      <c r="D88" s="44"/>
      <c r="E88" s="44"/>
      <c r="F88" s="44">
        <v>4009</v>
      </c>
      <c r="G88" s="44">
        <v>56869</v>
      </c>
      <c r="H88" s="44"/>
      <c r="I88" s="44"/>
      <c r="J88" s="137"/>
      <c r="K88" s="137"/>
      <c r="L88" s="44">
        <v>26800</v>
      </c>
      <c r="M88" s="44">
        <v>268656</v>
      </c>
      <c r="N88" s="44">
        <v>28161</v>
      </c>
      <c r="O88" s="44">
        <v>109521</v>
      </c>
      <c r="P88" s="44"/>
      <c r="Q88" s="44"/>
      <c r="R88" s="44">
        <v>1059</v>
      </c>
      <c r="S88" s="44">
        <v>6012</v>
      </c>
      <c r="T88" s="44">
        <v>32017</v>
      </c>
      <c r="U88" s="44">
        <v>117609</v>
      </c>
      <c r="V88" s="50"/>
      <c r="W88" s="44"/>
      <c r="X88" s="44">
        <v>63438</v>
      </c>
      <c r="Y88" s="44">
        <v>470251</v>
      </c>
      <c r="Z88" s="44">
        <v>1922180</v>
      </c>
      <c r="AA88" s="44">
        <v>2366483</v>
      </c>
      <c r="AB88" s="44">
        <v>261128</v>
      </c>
      <c r="AC88" s="44">
        <v>1089495</v>
      </c>
      <c r="AD88" s="44">
        <v>429634</v>
      </c>
      <c r="AE88" s="44">
        <v>3009830</v>
      </c>
      <c r="AF88" s="44">
        <v>36242</v>
      </c>
      <c r="AG88" s="44">
        <v>679428</v>
      </c>
      <c r="AH88" s="44">
        <v>5292</v>
      </c>
      <c r="AI88" s="44">
        <v>26560</v>
      </c>
      <c r="AJ88" s="44">
        <v>17953</v>
      </c>
      <c r="AK88" s="44">
        <v>164776</v>
      </c>
      <c r="AL88" s="44">
        <v>53124</v>
      </c>
      <c r="AM88" s="44">
        <v>114701</v>
      </c>
      <c r="AN88" s="44"/>
      <c r="AO88" s="44"/>
      <c r="AP88" s="44">
        <v>1386460.4159190001</v>
      </c>
      <c r="AQ88" s="44">
        <v>2506399.3064847998</v>
      </c>
      <c r="AR88" s="44">
        <v>4861000</v>
      </c>
      <c r="AS88" s="44">
        <v>14091134</v>
      </c>
      <c r="AT88" s="44">
        <v>800812</v>
      </c>
      <c r="AU88" s="44">
        <v>3269559</v>
      </c>
      <c r="AV88" s="44">
        <v>39545</v>
      </c>
      <c r="AW88" s="44">
        <v>136750</v>
      </c>
      <c r="AX88" s="44">
        <v>232239</v>
      </c>
      <c r="AY88" s="44">
        <v>5528693</v>
      </c>
      <c r="AZ88" s="44"/>
      <c r="BA88" s="44"/>
      <c r="BB88" s="44">
        <v>14737</v>
      </c>
      <c r="BC88" s="44">
        <v>176996</v>
      </c>
      <c r="BD88" s="169">
        <v>36413</v>
      </c>
      <c r="BE88" s="116">
        <v>309057</v>
      </c>
      <c r="BF88" s="44">
        <v>18953</v>
      </c>
      <c r="BG88" s="44">
        <v>107195</v>
      </c>
      <c r="BH88" s="44">
        <v>8216</v>
      </c>
      <c r="BI88" s="44">
        <v>47532</v>
      </c>
      <c r="BJ88" s="44"/>
      <c r="BK88" s="44"/>
      <c r="BL88" s="44">
        <v>212248</v>
      </c>
      <c r="BM88" s="44">
        <v>1190483</v>
      </c>
      <c r="BN88" s="44">
        <v>296086</v>
      </c>
      <c r="BO88" s="44">
        <v>1662323</v>
      </c>
      <c r="BP88" s="44">
        <v>5293</v>
      </c>
      <c r="BQ88" s="44">
        <v>26560</v>
      </c>
      <c r="BR88" s="44">
        <f t="shared" si="23"/>
        <v>10793039.415919</v>
      </c>
      <c r="BS88" s="44">
        <f t="shared" si="23"/>
        <v>37532872.306484804</v>
      </c>
    </row>
    <row r="89" spans="1:71" x14ac:dyDescent="0.25">
      <c r="A89" s="44" t="s">
        <v>340</v>
      </c>
      <c r="B89" s="44">
        <v>105700</v>
      </c>
      <c r="C89" s="44">
        <v>436414</v>
      </c>
      <c r="D89" s="10">
        <v>99987</v>
      </c>
      <c r="E89" s="44">
        <v>279398</v>
      </c>
      <c r="F89" s="44">
        <v>7474456</v>
      </c>
      <c r="G89" s="44">
        <v>53480426</v>
      </c>
      <c r="H89" s="44">
        <v>518004</v>
      </c>
      <c r="I89" s="44">
        <v>3368441</v>
      </c>
      <c r="J89" s="137">
        <v>12354010</v>
      </c>
      <c r="K89" s="137">
        <v>33225540</v>
      </c>
      <c r="L89" s="44">
        <v>2057388</v>
      </c>
      <c r="M89" s="44">
        <v>7685326</v>
      </c>
      <c r="N89" s="44">
        <v>2473586</v>
      </c>
      <c r="O89" s="44">
        <v>10867901</v>
      </c>
      <c r="P89" s="44">
        <v>63892</v>
      </c>
      <c r="Q89" s="44">
        <v>256745</v>
      </c>
      <c r="R89" s="44">
        <v>-459164</v>
      </c>
      <c r="S89" s="44">
        <v>-1145814</v>
      </c>
      <c r="T89" s="44">
        <v>88906</v>
      </c>
      <c r="U89" s="44">
        <v>307394</v>
      </c>
      <c r="V89" s="50">
        <v>964601.28</v>
      </c>
      <c r="W89" s="44">
        <v>3775218.84</v>
      </c>
      <c r="X89" s="44">
        <v>2890177</v>
      </c>
      <c r="Y89" s="44">
        <v>8795045</v>
      </c>
      <c r="Z89" s="44">
        <v>1138070</v>
      </c>
      <c r="AA89" s="44">
        <v>1721105</v>
      </c>
      <c r="AB89" s="44">
        <v>-9331838</v>
      </c>
      <c r="AC89" s="44">
        <v>-43490129</v>
      </c>
      <c r="AD89" s="44">
        <v>10668725</v>
      </c>
      <c r="AE89" s="44">
        <v>52506537</v>
      </c>
      <c r="AF89" s="44">
        <v>6848798</v>
      </c>
      <c r="AG89" s="44">
        <v>28821518</v>
      </c>
      <c r="AH89" s="44">
        <v>128335</v>
      </c>
      <c r="AI89" s="44">
        <v>366207</v>
      </c>
      <c r="AJ89" s="44">
        <v>292799</v>
      </c>
      <c r="AK89" s="44">
        <v>1512491</v>
      </c>
      <c r="AL89" s="44">
        <v>-972466</v>
      </c>
      <c r="AM89" s="44">
        <v>-3792953</v>
      </c>
      <c r="AN89" s="44">
        <v>635442</v>
      </c>
      <c r="AO89" s="44">
        <v>2156178</v>
      </c>
      <c r="AP89" s="44">
        <v>19495234.45165116</v>
      </c>
      <c r="AQ89" s="44">
        <v>57799651.536322862</v>
      </c>
      <c r="AR89" s="44">
        <v>21864675</v>
      </c>
      <c r="AS89" s="44">
        <v>58962488</v>
      </c>
      <c r="AT89" s="44">
        <v>7247406</v>
      </c>
      <c r="AU89" s="44">
        <v>29663180</v>
      </c>
      <c r="AV89" s="44">
        <v>81162</v>
      </c>
      <c r="AW89" s="44">
        <v>245259</v>
      </c>
      <c r="AX89" s="44">
        <v>606685</v>
      </c>
      <c r="AY89" s="44">
        <v>25602232</v>
      </c>
      <c r="AZ89" s="44">
        <v>12339</v>
      </c>
      <c r="BA89" s="44">
        <v>12612</v>
      </c>
      <c r="BB89" s="44">
        <v>1566568</v>
      </c>
      <c r="BC89" s="44">
        <v>5775194</v>
      </c>
      <c r="BD89" s="169">
        <v>-1758551</v>
      </c>
      <c r="BE89" s="116">
        <v>-9924794</v>
      </c>
      <c r="BF89" s="44">
        <v>6161020</v>
      </c>
      <c r="BG89" s="44">
        <v>21590554</v>
      </c>
      <c r="BH89" s="44">
        <v>498487</v>
      </c>
      <c r="BI89" s="44">
        <v>1810164</v>
      </c>
      <c r="BJ89" s="44">
        <v>5013378</v>
      </c>
      <c r="BK89" s="44">
        <v>12725828</v>
      </c>
      <c r="BL89" s="44">
        <v>6977159</v>
      </c>
      <c r="BM89" s="44">
        <v>28146847</v>
      </c>
      <c r="BN89" s="44">
        <v>7971440</v>
      </c>
      <c r="BO89" s="44">
        <v>27942440</v>
      </c>
      <c r="BP89" s="44">
        <v>4179083</v>
      </c>
      <c r="BQ89" s="44">
        <v>14856979</v>
      </c>
      <c r="BR89" s="44">
        <f t="shared" si="23"/>
        <v>117943154.73165116</v>
      </c>
      <c r="BS89" s="44">
        <f t="shared" si="23"/>
        <v>436329011.37632287</v>
      </c>
    </row>
    <row r="90" spans="1:71" x14ac:dyDescent="0.25">
      <c r="A90" s="44" t="s">
        <v>188</v>
      </c>
      <c r="B90" s="44">
        <v>424303</v>
      </c>
      <c r="C90" s="44">
        <v>982486</v>
      </c>
      <c r="D90" s="44">
        <v>1712665</v>
      </c>
      <c r="E90" s="44">
        <v>4688628</v>
      </c>
      <c r="F90" s="44">
        <v>2174702</v>
      </c>
      <c r="G90" s="44">
        <v>15585200</v>
      </c>
      <c r="H90" s="44">
        <v>8547258</v>
      </c>
      <c r="I90" s="44">
        <v>18575953</v>
      </c>
      <c r="J90" s="137">
        <v>21669159</v>
      </c>
      <c r="K90" s="137">
        <v>77744606</v>
      </c>
      <c r="L90" s="44">
        <v>4143381</v>
      </c>
      <c r="M90" s="44">
        <v>15163823</v>
      </c>
      <c r="N90" s="44">
        <v>10149900</v>
      </c>
      <c r="O90" s="44">
        <v>33523219</v>
      </c>
      <c r="P90" s="44">
        <v>1226711</v>
      </c>
      <c r="Q90" s="44">
        <v>4591478</v>
      </c>
      <c r="R90" s="44">
        <v>-121850</v>
      </c>
      <c r="S90" s="44">
        <v>1290876</v>
      </c>
      <c r="T90" s="44"/>
      <c r="U90" s="44"/>
      <c r="V90" s="44">
        <v>2650213.7400000002</v>
      </c>
      <c r="W90" s="44">
        <v>8700207.1400000006</v>
      </c>
      <c r="X90" s="44">
        <v>5258232</v>
      </c>
      <c r="Y90" s="44">
        <v>17214583</v>
      </c>
      <c r="Z90" s="44">
        <v>4416471</v>
      </c>
      <c r="AA90" s="44">
        <v>9553717</v>
      </c>
      <c r="AB90" s="44">
        <v>11657117</v>
      </c>
      <c r="AC90" s="44">
        <v>43727874</v>
      </c>
      <c r="AD90" s="44">
        <v>24610132</v>
      </c>
      <c r="AE90" s="44">
        <v>95385568</v>
      </c>
      <c r="AF90" s="44">
        <v>11623581</v>
      </c>
      <c r="AG90" s="44">
        <v>41876348</v>
      </c>
      <c r="AH90" s="44">
        <v>812340</v>
      </c>
      <c r="AI90" s="44">
        <v>2671452</v>
      </c>
      <c r="AJ90" s="44">
        <v>2894211</v>
      </c>
      <c r="AK90" s="44">
        <v>9903887</v>
      </c>
      <c r="AL90" s="44">
        <v>2241719</v>
      </c>
      <c r="AM90" s="44">
        <v>5169299</v>
      </c>
      <c r="AN90" s="44">
        <v>2567515</v>
      </c>
      <c r="AO90" s="44">
        <v>7313979</v>
      </c>
      <c r="AP90" s="44">
        <v>26878582.329527978</v>
      </c>
      <c r="AQ90" s="44">
        <v>96506126.108349174</v>
      </c>
      <c r="AR90" s="44">
        <v>63979914</v>
      </c>
      <c r="AS90" s="44">
        <v>221208555</v>
      </c>
      <c r="AT90" s="44">
        <v>30610804</v>
      </c>
      <c r="AU90" s="44">
        <v>108453875</v>
      </c>
      <c r="AV90" s="44">
        <v>373589</v>
      </c>
      <c r="AW90" s="44">
        <v>1051134</v>
      </c>
      <c r="AX90" s="44">
        <v>7870130</v>
      </c>
      <c r="AY90" s="44">
        <v>36914717</v>
      </c>
      <c r="AZ90" s="44">
        <v>23090</v>
      </c>
      <c r="BA90" s="44">
        <v>28283</v>
      </c>
      <c r="BB90" s="44">
        <v>3421719</v>
      </c>
      <c r="BC90" s="44">
        <v>12657548</v>
      </c>
      <c r="BD90" s="51">
        <v>5639358</v>
      </c>
      <c r="BE90" s="51">
        <v>22109968</v>
      </c>
      <c r="BF90" s="44">
        <v>7624643</v>
      </c>
      <c r="BG90" s="44">
        <v>25582109</v>
      </c>
      <c r="BH90" s="44">
        <v>6438457</v>
      </c>
      <c r="BI90" s="44">
        <v>21800809</v>
      </c>
      <c r="BJ90" s="44">
        <v>16357077</v>
      </c>
      <c r="BK90" s="44">
        <v>41287097</v>
      </c>
      <c r="BL90" s="44">
        <v>13926222</v>
      </c>
      <c r="BM90" s="44">
        <v>50470211</v>
      </c>
      <c r="BN90" s="44">
        <v>42723788</v>
      </c>
      <c r="BO90" s="44">
        <v>137924583</v>
      </c>
      <c r="BP90" s="44">
        <v>3991918</v>
      </c>
      <c r="BQ90" s="44">
        <v>13478256</v>
      </c>
      <c r="BR90" s="44">
        <f t="shared" si="23"/>
        <v>348493962.06952798</v>
      </c>
      <c r="BS90" s="44">
        <f t="shared" si="23"/>
        <v>1203108171.2483492</v>
      </c>
    </row>
    <row r="91" spans="1:71" x14ac:dyDescent="0.25">
      <c r="A91" s="44" t="s">
        <v>341</v>
      </c>
      <c r="B91" s="44">
        <v>257661</v>
      </c>
      <c r="C91" s="44">
        <v>488110</v>
      </c>
      <c r="D91" s="44">
        <v>1183664</v>
      </c>
      <c r="E91" s="44">
        <v>3482280</v>
      </c>
      <c r="F91" s="45">
        <v>2599397</v>
      </c>
      <c r="G91" s="45">
        <v>16516572</v>
      </c>
      <c r="H91" s="44">
        <v>7040994</v>
      </c>
      <c r="I91" s="44">
        <v>16728993</v>
      </c>
      <c r="J91" s="137">
        <v>19173688</v>
      </c>
      <c r="K91" s="137">
        <v>70097769</v>
      </c>
      <c r="L91" s="44">
        <v>3674985</v>
      </c>
      <c r="M91" s="44">
        <v>13989821</v>
      </c>
      <c r="N91" s="44">
        <v>7899848</v>
      </c>
      <c r="O91" s="44">
        <v>30498942</v>
      </c>
      <c r="P91" s="44">
        <v>1146830</v>
      </c>
      <c r="Q91" s="44">
        <v>3925174</v>
      </c>
      <c r="R91" s="44">
        <v>255854</v>
      </c>
      <c r="S91" s="44">
        <v>1083125</v>
      </c>
      <c r="T91" s="44">
        <v>169500</v>
      </c>
      <c r="U91" s="44">
        <v>288143</v>
      </c>
      <c r="V91" s="44">
        <v>2630855.4300000002</v>
      </c>
      <c r="W91" s="44">
        <v>8544228.0399999991</v>
      </c>
      <c r="X91" s="44">
        <v>4316244</v>
      </c>
      <c r="Y91" s="44">
        <v>15747149</v>
      </c>
      <c r="Z91" s="44">
        <v>2732746</v>
      </c>
      <c r="AA91" s="44">
        <v>4999769</v>
      </c>
      <c r="AB91" s="44">
        <v>9731903</v>
      </c>
      <c r="AC91" s="44">
        <v>38100107</v>
      </c>
      <c r="AD91" s="44">
        <v>21974696</v>
      </c>
      <c r="AE91" s="44">
        <v>83753478</v>
      </c>
      <c r="AF91" s="44">
        <v>9912304</v>
      </c>
      <c r="AG91" s="44">
        <v>40303183</v>
      </c>
      <c r="AH91" s="44">
        <v>583222</v>
      </c>
      <c r="AI91" s="44">
        <v>1973547</v>
      </c>
      <c r="AJ91" s="44">
        <v>2342118</v>
      </c>
      <c r="AK91" s="44">
        <v>8054415</v>
      </c>
      <c r="AL91" s="44">
        <v>1882174</v>
      </c>
      <c r="AM91" s="44">
        <v>3849464</v>
      </c>
      <c r="AN91" s="44">
        <v>2289900</v>
      </c>
      <c r="AO91" s="44">
        <v>6594788</v>
      </c>
      <c r="AP91" s="44">
        <v>29401975.200487979</v>
      </c>
      <c r="AQ91" s="44">
        <v>104002256.42189917</v>
      </c>
      <c r="AR91" s="44">
        <v>60215524</v>
      </c>
      <c r="AS91" s="44">
        <v>214875920</v>
      </c>
      <c r="AT91" s="44">
        <v>31216503</v>
      </c>
      <c r="AU91" s="44">
        <v>106015259</v>
      </c>
      <c r="AV91" s="44">
        <v>250251</v>
      </c>
      <c r="AW91" s="44">
        <v>895665</v>
      </c>
      <c r="AX91" s="44">
        <v>9721376</v>
      </c>
      <c r="AY91" s="44">
        <v>35322495</v>
      </c>
      <c r="AZ91" s="44">
        <v>11113</v>
      </c>
      <c r="BA91" s="44">
        <v>13580</v>
      </c>
      <c r="BB91" s="44">
        <v>3191973</v>
      </c>
      <c r="BC91" s="44">
        <v>10912035</v>
      </c>
      <c r="BD91" s="51">
        <v>5532632</v>
      </c>
      <c r="BE91" s="51">
        <v>21861891</v>
      </c>
      <c r="BF91" s="44">
        <v>5932388</v>
      </c>
      <c r="BG91" s="44">
        <v>23883837</v>
      </c>
      <c r="BH91" s="44">
        <v>5273443</v>
      </c>
      <c r="BI91" s="44">
        <v>20594278</v>
      </c>
      <c r="BJ91" s="44">
        <v>14493702</v>
      </c>
      <c r="BK91" s="44">
        <v>36623738</v>
      </c>
      <c r="BL91" s="44">
        <v>12577169</v>
      </c>
      <c r="BM91" s="44">
        <v>45782143</v>
      </c>
      <c r="BN91" s="44">
        <v>40982694</v>
      </c>
      <c r="BO91" s="44">
        <v>131045080</v>
      </c>
      <c r="BP91" s="44">
        <v>3038680</v>
      </c>
      <c r="BQ91" s="44">
        <v>12490593</v>
      </c>
      <c r="BR91" s="44">
        <f t="shared" si="23"/>
        <v>323626893.63048798</v>
      </c>
      <c r="BS91" s="44">
        <f t="shared" si="23"/>
        <v>1133324247.4618993</v>
      </c>
    </row>
    <row r="92" spans="1:71" x14ac:dyDescent="0.25">
      <c r="A92" s="10"/>
    </row>
  </sheetData>
  <mergeCells count="350">
    <mergeCell ref="AN22:AO22"/>
    <mergeCell ref="AJ40:AK40"/>
    <mergeCell ref="AJ49:AK49"/>
    <mergeCell ref="AL49:AM49"/>
    <mergeCell ref="V58:W58"/>
    <mergeCell ref="X58:Y58"/>
    <mergeCell ref="Z58:AA58"/>
    <mergeCell ref="AB58:AC58"/>
    <mergeCell ref="AD76:AE76"/>
    <mergeCell ref="AZ58:BA58"/>
    <mergeCell ref="AZ67:BA67"/>
    <mergeCell ref="AZ76:BA76"/>
    <mergeCell ref="AZ85:BA85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X76:AY76"/>
    <mergeCell ref="BF67:BG67"/>
    <mergeCell ref="BF76:BG76"/>
    <mergeCell ref="BH67:BI67"/>
    <mergeCell ref="BJ67:BK67"/>
    <mergeCell ref="BL67:BM67"/>
    <mergeCell ref="BN67:BO67"/>
    <mergeCell ref="BP67:BQ67"/>
    <mergeCell ref="BR67:BS67"/>
    <mergeCell ref="AL67:AM67"/>
    <mergeCell ref="AN67:AO67"/>
    <mergeCell ref="AP67:AQ67"/>
    <mergeCell ref="AR67:AS67"/>
    <mergeCell ref="AT67:AU67"/>
    <mergeCell ref="AV67:AW67"/>
    <mergeCell ref="AX67:AY67"/>
    <mergeCell ref="BB67:BC67"/>
    <mergeCell ref="BD67:BE67"/>
    <mergeCell ref="BH76:BI76"/>
    <mergeCell ref="BJ76:BK76"/>
    <mergeCell ref="BL76:BM76"/>
    <mergeCell ref="BN76:BO76"/>
    <mergeCell ref="BP76:BQ76"/>
    <mergeCell ref="AR76:AS76"/>
    <mergeCell ref="AT76:AU7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R4:BS4"/>
    <mergeCell ref="BR13:BS13"/>
    <mergeCell ref="BR22:BS22"/>
    <mergeCell ref="BR31:BS31"/>
    <mergeCell ref="BR40:BS40"/>
    <mergeCell ref="BR49:BS49"/>
    <mergeCell ref="BR58:BS58"/>
    <mergeCell ref="BR76:BS76"/>
    <mergeCell ref="BR85:BS85"/>
    <mergeCell ref="B4:C4"/>
    <mergeCell ref="D4:E4"/>
    <mergeCell ref="F4:G4"/>
    <mergeCell ref="H4:I4"/>
    <mergeCell ref="J4:K4"/>
    <mergeCell ref="L4:M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L4:BM4"/>
    <mergeCell ref="BN4:BO4"/>
    <mergeCell ref="AZ4:BA4"/>
    <mergeCell ref="BP4:BQ4"/>
    <mergeCell ref="B13:C13"/>
    <mergeCell ref="D13:E13"/>
    <mergeCell ref="F13:G13"/>
    <mergeCell ref="H13:I13"/>
    <mergeCell ref="J13:K13"/>
    <mergeCell ref="L13:M13"/>
    <mergeCell ref="N13:O13"/>
    <mergeCell ref="AX4:AY4"/>
    <mergeCell ref="BB4:BC4"/>
    <mergeCell ref="BD4:BE4"/>
    <mergeCell ref="BF4:BG4"/>
    <mergeCell ref="BH4:BI4"/>
    <mergeCell ref="BJ4:BK4"/>
    <mergeCell ref="AL4:AM4"/>
    <mergeCell ref="AN4:AO4"/>
    <mergeCell ref="AP4:AQ4"/>
    <mergeCell ref="AR4:AS4"/>
    <mergeCell ref="AT4:AU4"/>
    <mergeCell ref="AV4:AW4"/>
    <mergeCell ref="Z4:AA4"/>
    <mergeCell ref="AB4:AC4"/>
    <mergeCell ref="AF13:AG13"/>
    <mergeCell ref="AH13:AI13"/>
    <mergeCell ref="AJ13:AK13"/>
    <mergeCell ref="AL13:AM13"/>
    <mergeCell ref="P13:Q13"/>
    <mergeCell ref="R13:S13"/>
    <mergeCell ref="T13:U13"/>
    <mergeCell ref="V13:W13"/>
    <mergeCell ref="X13:Y13"/>
    <mergeCell ref="Z13:AA13"/>
    <mergeCell ref="BN13:BO13"/>
    <mergeCell ref="AZ13:BA13"/>
    <mergeCell ref="BP13:BQ13"/>
    <mergeCell ref="B22:C22"/>
    <mergeCell ref="D22:E22"/>
    <mergeCell ref="F22:G22"/>
    <mergeCell ref="H22:I22"/>
    <mergeCell ref="J22:K22"/>
    <mergeCell ref="L22:M22"/>
    <mergeCell ref="N22:O22"/>
    <mergeCell ref="P22:Q22"/>
    <mergeCell ref="BB13:BC13"/>
    <mergeCell ref="BD13:BE13"/>
    <mergeCell ref="BF13:BG13"/>
    <mergeCell ref="BH13:BI13"/>
    <mergeCell ref="BJ13:BK13"/>
    <mergeCell ref="BL13:BM13"/>
    <mergeCell ref="AN13:AO13"/>
    <mergeCell ref="AP13:AQ13"/>
    <mergeCell ref="AR13:AS13"/>
    <mergeCell ref="AT13:AU13"/>
    <mergeCell ref="AV13:AW13"/>
    <mergeCell ref="AX13:AY13"/>
    <mergeCell ref="AB13:AC13"/>
    <mergeCell ref="AD13:AE13"/>
    <mergeCell ref="AH22:AI22"/>
    <mergeCell ref="R22:S22"/>
    <mergeCell ref="T22:U22"/>
    <mergeCell ref="V22:W22"/>
    <mergeCell ref="X22:Y22"/>
    <mergeCell ref="Z22:AA22"/>
    <mergeCell ref="AB22:AC22"/>
    <mergeCell ref="BP22:BQ22"/>
    <mergeCell ref="BD22:BE22"/>
    <mergeCell ref="BF22:BG22"/>
    <mergeCell ref="BH22:BI22"/>
    <mergeCell ref="BJ22:BK22"/>
    <mergeCell ref="BL22:BM22"/>
    <mergeCell ref="BN22:BO22"/>
    <mergeCell ref="AP22:AQ22"/>
    <mergeCell ref="AR22:AS22"/>
    <mergeCell ref="AT22:AU22"/>
    <mergeCell ref="AV22:AW22"/>
    <mergeCell ref="AX22:AY22"/>
    <mergeCell ref="BB22:BC22"/>
    <mergeCell ref="AD22:AE22"/>
    <mergeCell ref="AF22:AG22"/>
    <mergeCell ref="AZ22:BA22"/>
    <mergeCell ref="AJ22:AK22"/>
    <mergeCell ref="AL22:AM2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L31:BM31"/>
    <mergeCell ref="BN31:BO31"/>
    <mergeCell ref="BP31:BQ31"/>
    <mergeCell ref="AR31:AS31"/>
    <mergeCell ref="AT31:AU31"/>
    <mergeCell ref="AV31:AW31"/>
    <mergeCell ref="AX31:AY31"/>
    <mergeCell ref="BB31:BC31"/>
    <mergeCell ref="BD31:BE31"/>
    <mergeCell ref="AZ31:BA31"/>
    <mergeCell ref="B40:C40"/>
    <mergeCell ref="D40:E40"/>
    <mergeCell ref="F40:G40"/>
    <mergeCell ref="H40:I40"/>
    <mergeCell ref="J40:K40"/>
    <mergeCell ref="L40:M40"/>
    <mergeCell ref="BF31:BG31"/>
    <mergeCell ref="BH31:BI31"/>
    <mergeCell ref="BJ31:BK31"/>
    <mergeCell ref="AF31:AG31"/>
    <mergeCell ref="AH31:AI31"/>
    <mergeCell ref="AJ31:AK31"/>
    <mergeCell ref="AL31:AM31"/>
    <mergeCell ref="AN31:AO31"/>
    <mergeCell ref="AP31:AQ31"/>
    <mergeCell ref="T31:U31"/>
    <mergeCell ref="V31:W31"/>
    <mergeCell ref="X31:Y31"/>
    <mergeCell ref="Z31:AA31"/>
    <mergeCell ref="AB31:AC31"/>
    <mergeCell ref="AD31:AE31"/>
    <mergeCell ref="AD40:AE40"/>
    <mergeCell ref="AF40:AG40"/>
    <mergeCell ref="AH40:AI40"/>
    <mergeCell ref="N40:O40"/>
    <mergeCell ref="P40:Q40"/>
    <mergeCell ref="R40:S40"/>
    <mergeCell ref="T40:U40"/>
    <mergeCell ref="V40:W40"/>
    <mergeCell ref="X40:Y40"/>
    <mergeCell ref="BL40:BM40"/>
    <mergeCell ref="BN40:BO40"/>
    <mergeCell ref="AZ40:BA40"/>
    <mergeCell ref="BP40:BQ40"/>
    <mergeCell ref="B49:C49"/>
    <mergeCell ref="D49:E49"/>
    <mergeCell ref="F49:G49"/>
    <mergeCell ref="H49:I49"/>
    <mergeCell ref="J49:K49"/>
    <mergeCell ref="L49:M49"/>
    <mergeCell ref="N49:O49"/>
    <mergeCell ref="AX40:AY40"/>
    <mergeCell ref="BB40:BC40"/>
    <mergeCell ref="BD40:BE40"/>
    <mergeCell ref="BF40:BG40"/>
    <mergeCell ref="BH40:BI40"/>
    <mergeCell ref="BJ40:BK40"/>
    <mergeCell ref="AL40:AM40"/>
    <mergeCell ref="AN40:AO40"/>
    <mergeCell ref="AP40:AQ40"/>
    <mergeCell ref="AR40:AS40"/>
    <mergeCell ref="AT40:AU40"/>
    <mergeCell ref="AV40:AW40"/>
    <mergeCell ref="Z40:AA40"/>
    <mergeCell ref="AB40:AC40"/>
    <mergeCell ref="AF49:AG49"/>
    <mergeCell ref="AH49:AI49"/>
    <mergeCell ref="P49:Q49"/>
    <mergeCell ref="R49:S49"/>
    <mergeCell ref="T49:U49"/>
    <mergeCell ref="V49:W49"/>
    <mergeCell ref="X49:Y49"/>
    <mergeCell ref="Z49:AA49"/>
    <mergeCell ref="BN49:BO49"/>
    <mergeCell ref="AZ49:BA49"/>
    <mergeCell ref="BP49:BQ49"/>
    <mergeCell ref="BD49:BE49"/>
    <mergeCell ref="BF49:BG49"/>
    <mergeCell ref="BH49:BI49"/>
    <mergeCell ref="BJ49:BK49"/>
    <mergeCell ref="BL49:BM49"/>
    <mergeCell ref="B58:C58"/>
    <mergeCell ref="D58:E58"/>
    <mergeCell ref="F58:G58"/>
    <mergeCell ref="H58:I58"/>
    <mergeCell ref="J58:K58"/>
    <mergeCell ref="L58:M58"/>
    <mergeCell ref="N58:O58"/>
    <mergeCell ref="P58:Q58"/>
    <mergeCell ref="BB49:BC49"/>
    <mergeCell ref="AN49:AO49"/>
    <mergeCell ref="AP49:AQ49"/>
    <mergeCell ref="AR49:AS49"/>
    <mergeCell ref="AT49:AU49"/>
    <mergeCell ref="AV49:AW49"/>
    <mergeCell ref="AX49:AY49"/>
    <mergeCell ref="AB49:AC49"/>
    <mergeCell ref="AD49:AE49"/>
    <mergeCell ref="AH58:AI58"/>
    <mergeCell ref="AF58:AG58"/>
    <mergeCell ref="AJ58:AK58"/>
    <mergeCell ref="AL58:AM58"/>
    <mergeCell ref="AN58:AO58"/>
    <mergeCell ref="R58:S58"/>
    <mergeCell ref="T58:U58"/>
    <mergeCell ref="BP58:BQ58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D58:BE58"/>
    <mergeCell ref="BF58:BG58"/>
    <mergeCell ref="BH58:BI58"/>
    <mergeCell ref="BJ58:BK58"/>
    <mergeCell ref="BL58:BM58"/>
    <mergeCell ref="BN58:BO58"/>
    <mergeCell ref="AP58:AQ58"/>
    <mergeCell ref="AR58:AS58"/>
    <mergeCell ref="AT58:AU58"/>
    <mergeCell ref="AV58:AW58"/>
    <mergeCell ref="AX58:AY58"/>
    <mergeCell ref="BB58:BC58"/>
    <mergeCell ref="AD58:AE58"/>
    <mergeCell ref="AV76:AW76"/>
    <mergeCell ref="BB76:BC76"/>
    <mergeCell ref="BD76:BE76"/>
    <mergeCell ref="N85:O85"/>
    <mergeCell ref="P85:Q85"/>
    <mergeCell ref="R85:S85"/>
    <mergeCell ref="T85:U85"/>
    <mergeCell ref="V85:W85"/>
    <mergeCell ref="X85:Y85"/>
    <mergeCell ref="AR85:AS85"/>
    <mergeCell ref="AT85:AU85"/>
    <mergeCell ref="AV85:AW85"/>
    <mergeCell ref="AF76:AG76"/>
    <mergeCell ref="AH76:AI76"/>
    <mergeCell ref="AJ76:AK76"/>
    <mergeCell ref="AL76:AM76"/>
    <mergeCell ref="AN76:AO76"/>
    <mergeCell ref="AP76:AQ76"/>
    <mergeCell ref="T76:U76"/>
    <mergeCell ref="V76:W76"/>
    <mergeCell ref="X76:Y76"/>
    <mergeCell ref="Z76:AA76"/>
    <mergeCell ref="AB76:AC76"/>
    <mergeCell ref="B85:C85"/>
    <mergeCell ref="D85:E85"/>
    <mergeCell ref="F85:G85"/>
    <mergeCell ref="H85:I85"/>
    <mergeCell ref="J85:K85"/>
    <mergeCell ref="L85:M85"/>
    <mergeCell ref="AL85:AM85"/>
    <mergeCell ref="AN85:AO85"/>
    <mergeCell ref="AP85:AQ85"/>
    <mergeCell ref="Z85:AA85"/>
    <mergeCell ref="AB85:AC85"/>
    <mergeCell ref="AD85:AE85"/>
    <mergeCell ref="AF85:AG85"/>
    <mergeCell ref="AH85:AI85"/>
    <mergeCell ref="AJ85:AK85"/>
    <mergeCell ref="BL85:BM85"/>
    <mergeCell ref="BN85:BO85"/>
    <mergeCell ref="BP85:BQ85"/>
    <mergeCell ref="AX85:AY85"/>
    <mergeCell ref="BB85:BC85"/>
    <mergeCell ref="BD85:BE85"/>
    <mergeCell ref="BF85:BG85"/>
    <mergeCell ref="BH85:BI85"/>
    <mergeCell ref="BJ85:BK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1"/>
  <sheetViews>
    <sheetView workbookViewId="0">
      <pane xSplit="1" ySplit="4" topLeftCell="B5" activePane="bottomRight" state="frozen"/>
      <selection activeCell="BO15" sqref="BO15"/>
      <selection pane="topRight" activeCell="BO15" sqref="BO15"/>
      <selection pane="bottomLeft" activeCell="BO15" sqref="BO15"/>
      <selection pane="bottomRight" activeCell="B4" sqref="B4:C4"/>
    </sheetView>
  </sheetViews>
  <sheetFormatPr defaultRowHeight="15" x14ac:dyDescent="0.25"/>
  <cols>
    <col min="1" max="1" width="44.85546875" style="70" customWidth="1"/>
    <col min="2" max="65" width="14.85546875" style="10" customWidth="1"/>
    <col min="66" max="67" width="14.85546875" style="173" customWidth="1"/>
    <col min="68" max="71" width="14.85546875" style="10" customWidth="1"/>
    <col min="72" max="16384" width="9.140625" style="10"/>
  </cols>
  <sheetData>
    <row r="1" spans="1:71" ht="18.75" x14ac:dyDescent="0.3">
      <c r="A1" s="27" t="s">
        <v>184</v>
      </c>
    </row>
    <row r="2" spans="1:71" x14ac:dyDescent="0.25">
      <c r="A2" s="70" t="s">
        <v>43</v>
      </c>
    </row>
    <row r="3" spans="1:71" s="13" customFormat="1" x14ac:dyDescent="0.25">
      <c r="A3" s="7" t="s">
        <v>142</v>
      </c>
      <c r="BN3" s="184"/>
      <c r="BO3" s="184"/>
    </row>
    <row r="4" spans="1:71" s="15" customFormat="1" x14ac:dyDescent="0.25">
      <c r="A4" s="23" t="s">
        <v>0</v>
      </c>
      <c r="B4" s="200" t="s">
        <v>1</v>
      </c>
      <c r="C4" s="200"/>
      <c r="D4" s="200" t="s">
        <v>2</v>
      </c>
      <c r="E4" s="200"/>
      <c r="F4" s="200" t="s">
        <v>3</v>
      </c>
      <c r="G4" s="200"/>
      <c r="H4" s="200" t="s">
        <v>4</v>
      </c>
      <c r="I4" s="200"/>
      <c r="J4" s="200" t="s">
        <v>5</v>
      </c>
      <c r="K4" s="200"/>
      <c r="L4" s="200" t="s">
        <v>6</v>
      </c>
      <c r="M4" s="200"/>
      <c r="N4" s="200" t="s">
        <v>7</v>
      </c>
      <c r="O4" s="200"/>
      <c r="P4" s="200" t="s">
        <v>8</v>
      </c>
      <c r="Q4" s="200"/>
      <c r="R4" s="200" t="s">
        <v>9</v>
      </c>
      <c r="S4" s="200"/>
      <c r="T4" s="200" t="s">
        <v>10</v>
      </c>
      <c r="U4" s="200"/>
      <c r="V4" s="200" t="s">
        <v>11</v>
      </c>
      <c r="W4" s="200"/>
      <c r="X4" s="200" t="s">
        <v>12</v>
      </c>
      <c r="Y4" s="200"/>
      <c r="Z4" s="200" t="s">
        <v>13</v>
      </c>
      <c r="AA4" s="200"/>
      <c r="AB4" s="200" t="s">
        <v>14</v>
      </c>
      <c r="AC4" s="200"/>
      <c r="AD4" s="200" t="s">
        <v>15</v>
      </c>
      <c r="AE4" s="200"/>
      <c r="AF4" s="200" t="s">
        <v>16</v>
      </c>
      <c r="AG4" s="200"/>
      <c r="AH4" s="200" t="s">
        <v>17</v>
      </c>
      <c r="AI4" s="200"/>
      <c r="AJ4" s="200" t="s">
        <v>18</v>
      </c>
      <c r="AK4" s="200"/>
      <c r="AL4" s="200" t="s">
        <v>19</v>
      </c>
      <c r="AM4" s="200"/>
      <c r="AN4" s="200" t="s">
        <v>20</v>
      </c>
      <c r="AO4" s="200"/>
      <c r="AP4" s="200" t="s">
        <v>21</v>
      </c>
      <c r="AQ4" s="200"/>
      <c r="AR4" s="200" t="s">
        <v>147</v>
      </c>
      <c r="AS4" s="200"/>
      <c r="AT4" s="200" t="s">
        <v>148</v>
      </c>
      <c r="AU4" s="200"/>
      <c r="AV4" s="200" t="s">
        <v>22</v>
      </c>
      <c r="AW4" s="200"/>
      <c r="AX4" s="200" t="s">
        <v>23</v>
      </c>
      <c r="AY4" s="200"/>
      <c r="AZ4" s="200" t="s">
        <v>332</v>
      </c>
      <c r="BA4" s="200"/>
      <c r="BB4" s="200" t="s">
        <v>24</v>
      </c>
      <c r="BC4" s="200"/>
      <c r="BD4" s="200" t="s">
        <v>25</v>
      </c>
      <c r="BE4" s="200"/>
      <c r="BF4" s="200" t="s">
        <v>26</v>
      </c>
      <c r="BG4" s="200"/>
      <c r="BH4" s="200" t="s">
        <v>27</v>
      </c>
      <c r="BI4" s="200"/>
      <c r="BJ4" s="200" t="s">
        <v>28</v>
      </c>
      <c r="BK4" s="200"/>
      <c r="BL4" s="200" t="s">
        <v>29</v>
      </c>
      <c r="BM4" s="200"/>
      <c r="BN4" s="201" t="s">
        <v>30</v>
      </c>
      <c r="BO4" s="201"/>
      <c r="BP4" s="200" t="s">
        <v>31</v>
      </c>
      <c r="BQ4" s="200"/>
      <c r="BR4" s="200" t="s">
        <v>250</v>
      </c>
      <c r="BS4" s="200"/>
    </row>
    <row r="5" spans="1:71" s="42" customFormat="1" ht="44.25" customHeight="1" x14ac:dyDescent="0.25">
      <c r="A5" s="43"/>
      <c r="B5" s="43" t="s">
        <v>321</v>
      </c>
      <c r="C5" s="43" t="s">
        <v>322</v>
      </c>
      <c r="D5" s="43" t="s">
        <v>321</v>
      </c>
      <c r="E5" s="43" t="s">
        <v>322</v>
      </c>
      <c r="F5" s="43" t="s">
        <v>321</v>
      </c>
      <c r="G5" s="43" t="s">
        <v>322</v>
      </c>
      <c r="H5" s="43" t="s">
        <v>321</v>
      </c>
      <c r="I5" s="43" t="s">
        <v>322</v>
      </c>
      <c r="J5" s="43" t="s">
        <v>321</v>
      </c>
      <c r="K5" s="43" t="s">
        <v>322</v>
      </c>
      <c r="L5" s="43" t="s">
        <v>321</v>
      </c>
      <c r="M5" s="43" t="s">
        <v>322</v>
      </c>
      <c r="N5" s="43" t="s">
        <v>321</v>
      </c>
      <c r="O5" s="43" t="s">
        <v>322</v>
      </c>
      <c r="P5" s="43" t="s">
        <v>321</v>
      </c>
      <c r="Q5" s="43" t="s">
        <v>322</v>
      </c>
      <c r="R5" s="43" t="s">
        <v>321</v>
      </c>
      <c r="S5" s="43" t="s">
        <v>322</v>
      </c>
      <c r="T5" s="43" t="s">
        <v>321</v>
      </c>
      <c r="U5" s="43" t="s">
        <v>322</v>
      </c>
      <c r="V5" s="43" t="s">
        <v>321</v>
      </c>
      <c r="W5" s="43" t="s">
        <v>322</v>
      </c>
      <c r="X5" s="43" t="s">
        <v>321</v>
      </c>
      <c r="Y5" s="43" t="s">
        <v>322</v>
      </c>
      <c r="Z5" s="43" t="s">
        <v>321</v>
      </c>
      <c r="AA5" s="43" t="s">
        <v>322</v>
      </c>
      <c r="AB5" s="43" t="s">
        <v>321</v>
      </c>
      <c r="AC5" s="43" t="s">
        <v>322</v>
      </c>
      <c r="AD5" s="43" t="s">
        <v>321</v>
      </c>
      <c r="AE5" s="43" t="s">
        <v>322</v>
      </c>
      <c r="AF5" s="43" t="s">
        <v>321</v>
      </c>
      <c r="AG5" s="43" t="s">
        <v>322</v>
      </c>
      <c r="AH5" s="43" t="s">
        <v>321</v>
      </c>
      <c r="AI5" s="43" t="s">
        <v>322</v>
      </c>
      <c r="AJ5" s="43" t="s">
        <v>321</v>
      </c>
      <c r="AK5" s="43" t="s">
        <v>322</v>
      </c>
      <c r="AL5" s="43" t="s">
        <v>321</v>
      </c>
      <c r="AM5" s="43" t="s">
        <v>322</v>
      </c>
      <c r="AN5" s="43" t="s">
        <v>321</v>
      </c>
      <c r="AO5" s="43" t="s">
        <v>322</v>
      </c>
      <c r="AP5" s="43" t="s">
        <v>321</v>
      </c>
      <c r="AQ5" s="43" t="s">
        <v>322</v>
      </c>
      <c r="AR5" s="43" t="s">
        <v>321</v>
      </c>
      <c r="AS5" s="43" t="s">
        <v>322</v>
      </c>
      <c r="AT5" s="43" t="s">
        <v>321</v>
      </c>
      <c r="AU5" s="43" t="s">
        <v>322</v>
      </c>
      <c r="AV5" s="43" t="s">
        <v>321</v>
      </c>
      <c r="AW5" s="43" t="s">
        <v>322</v>
      </c>
      <c r="AX5" s="43" t="s">
        <v>321</v>
      </c>
      <c r="AY5" s="43" t="s">
        <v>322</v>
      </c>
      <c r="AZ5" s="43" t="s">
        <v>321</v>
      </c>
      <c r="BA5" s="43" t="s">
        <v>322</v>
      </c>
      <c r="BB5" s="43" t="s">
        <v>321</v>
      </c>
      <c r="BC5" s="43" t="s">
        <v>322</v>
      </c>
      <c r="BD5" s="43" t="s">
        <v>321</v>
      </c>
      <c r="BE5" s="43" t="s">
        <v>322</v>
      </c>
      <c r="BF5" s="43" t="s">
        <v>321</v>
      </c>
      <c r="BG5" s="43" t="s">
        <v>322</v>
      </c>
      <c r="BH5" s="43" t="s">
        <v>321</v>
      </c>
      <c r="BI5" s="43" t="s">
        <v>322</v>
      </c>
      <c r="BJ5" s="43" t="s">
        <v>321</v>
      </c>
      <c r="BK5" s="43" t="s">
        <v>322</v>
      </c>
      <c r="BL5" s="43" t="s">
        <v>321</v>
      </c>
      <c r="BM5" s="43" t="s">
        <v>322</v>
      </c>
      <c r="BN5" s="183" t="s">
        <v>321</v>
      </c>
      <c r="BO5" s="183" t="s">
        <v>322</v>
      </c>
      <c r="BP5" s="43" t="s">
        <v>321</v>
      </c>
      <c r="BQ5" s="43" t="s">
        <v>322</v>
      </c>
      <c r="BR5" s="43" t="s">
        <v>321</v>
      </c>
      <c r="BS5" s="43" t="s">
        <v>322</v>
      </c>
    </row>
    <row r="6" spans="1:71" s="191" customFormat="1" ht="15" customHeight="1" x14ac:dyDescent="0.25">
      <c r="A6" s="109" t="s">
        <v>68</v>
      </c>
      <c r="B6" s="186"/>
      <c r="C6" s="186"/>
      <c r="D6" s="186"/>
      <c r="E6" s="186"/>
      <c r="F6" s="186"/>
      <c r="G6" s="186"/>
      <c r="H6" s="186"/>
      <c r="I6" s="186"/>
      <c r="J6" s="187">
        <v>1296372</v>
      </c>
      <c r="K6" s="186">
        <v>3403545</v>
      </c>
      <c r="L6" s="186">
        <v>153816</v>
      </c>
      <c r="M6" s="186">
        <v>310678</v>
      </c>
      <c r="N6" s="186">
        <v>1167141</v>
      </c>
      <c r="O6" s="186">
        <v>1482200</v>
      </c>
      <c r="P6" s="186"/>
      <c r="Q6" s="186"/>
      <c r="R6" s="186">
        <v>841</v>
      </c>
      <c r="S6" s="186">
        <v>2001</v>
      </c>
      <c r="T6" s="186"/>
      <c r="U6" s="186"/>
      <c r="V6" s="186"/>
      <c r="W6" s="186"/>
      <c r="X6" s="186">
        <v>196161</v>
      </c>
      <c r="Y6" s="186">
        <v>842410</v>
      </c>
      <c r="Z6" s="186">
        <v>-209</v>
      </c>
      <c r="AA6" s="186"/>
      <c r="AB6" s="186">
        <v>717517</v>
      </c>
      <c r="AC6" s="186">
        <v>2776589</v>
      </c>
      <c r="AD6" s="186">
        <v>1457868</v>
      </c>
      <c r="AE6" s="186">
        <v>5011088</v>
      </c>
      <c r="AF6" s="186">
        <v>1173395</v>
      </c>
      <c r="AG6" s="186">
        <v>1992469</v>
      </c>
      <c r="AH6" s="186">
        <v>1202</v>
      </c>
      <c r="AI6" s="186">
        <v>18066</v>
      </c>
      <c r="AJ6" s="186">
        <v>93926</v>
      </c>
      <c r="AK6" s="186">
        <v>196563</v>
      </c>
      <c r="AL6" s="186">
        <v>11880</v>
      </c>
      <c r="AM6" s="186">
        <v>289690</v>
      </c>
      <c r="AN6" s="186"/>
      <c r="AO6" s="186"/>
      <c r="AP6" s="186">
        <v>2373489.9929999993</v>
      </c>
      <c r="AQ6" s="186">
        <v>5484390.9119999995</v>
      </c>
      <c r="AR6" s="186">
        <v>5878557</v>
      </c>
      <c r="AS6" s="186">
        <v>19447511</v>
      </c>
      <c r="AT6" s="186">
        <v>2444606</v>
      </c>
      <c r="AU6" s="186">
        <v>6488493</v>
      </c>
      <c r="AV6" s="186">
        <v>3703</v>
      </c>
      <c r="AW6" s="186">
        <v>4640</v>
      </c>
      <c r="AX6" s="186">
        <v>644311</v>
      </c>
      <c r="AY6" s="186">
        <v>2005448</v>
      </c>
      <c r="AZ6" s="186"/>
      <c r="BA6" s="186"/>
      <c r="BB6" s="186"/>
      <c r="BC6" s="186"/>
      <c r="BD6" s="190">
        <v>95184</v>
      </c>
      <c r="BE6" s="190">
        <v>471171</v>
      </c>
      <c r="BF6" s="186">
        <v>1067391</v>
      </c>
      <c r="BG6" s="186">
        <v>3234035</v>
      </c>
      <c r="BH6" s="186">
        <v>21640</v>
      </c>
      <c r="BI6" s="186">
        <v>129357</v>
      </c>
      <c r="BJ6" s="186"/>
      <c r="BK6" s="186"/>
      <c r="BL6" s="186">
        <v>795645</v>
      </c>
      <c r="BM6" s="186">
        <v>2432896</v>
      </c>
      <c r="BN6" s="175">
        <v>3735214</v>
      </c>
      <c r="BO6" s="175">
        <v>9109800</v>
      </c>
      <c r="BP6" s="186">
        <v>183540</v>
      </c>
      <c r="BQ6" s="186">
        <v>524633</v>
      </c>
      <c r="BR6" s="44">
        <f t="shared" ref="BR6:BR12" si="0">B6+D6+F6+H6+J6+L6+N6+P6+R6+T6+V6+X6+Z6+AB6+AD6+AF6+AH6+AJ6+AL6+AN6+AP6+AR6+AT6+AV6+AX6+BB6+BD6+BF6+BH6+BJ6+BL6+BN6+BP6</f>
        <v>23513190.993000001</v>
      </c>
      <c r="BS6" s="44">
        <f t="shared" ref="BS6:BS12" si="1">C6+E6+G6+I6+K6+M6+O6+Q6+S6+U6+W6+Y6+AA6+AC6+AE6+AG6+AI6+AK6+AM6+AO6+AQ6+AS6+AU6+AW6+AY6+BC6+BE6+BG6+BI6+BK6+BM6+BO6+BQ6</f>
        <v>65657673.912</v>
      </c>
    </row>
    <row r="7" spans="1:71" s="191" customFormat="1" ht="15" customHeight="1" x14ac:dyDescent="0.25">
      <c r="A7" s="109" t="s">
        <v>342</v>
      </c>
      <c r="B7" s="186"/>
      <c r="C7" s="186"/>
      <c r="D7" s="186"/>
      <c r="E7" s="186"/>
      <c r="F7" s="186"/>
      <c r="G7" s="186"/>
      <c r="H7" s="186"/>
      <c r="I7" s="186"/>
      <c r="J7" s="187">
        <v>8013</v>
      </c>
      <c r="K7" s="186">
        <v>64186</v>
      </c>
      <c r="L7" s="186">
        <v>828</v>
      </c>
      <c r="M7" s="186">
        <v>7490</v>
      </c>
      <c r="N7" s="186">
        <v>972</v>
      </c>
      <c r="O7" s="186">
        <v>5980</v>
      </c>
      <c r="P7" s="186"/>
      <c r="Q7" s="186"/>
      <c r="R7" s="186"/>
      <c r="S7" s="186"/>
      <c r="T7" s="186">
        <v>314</v>
      </c>
      <c r="U7" s="186">
        <v>314</v>
      </c>
      <c r="V7" s="186"/>
      <c r="W7" s="186"/>
      <c r="X7" s="186">
        <v>1219</v>
      </c>
      <c r="Y7" s="186">
        <v>43921</v>
      </c>
      <c r="Z7" s="186">
        <v>5189</v>
      </c>
      <c r="AA7" s="186">
        <v>5255</v>
      </c>
      <c r="AD7" s="186"/>
      <c r="AE7" s="186"/>
      <c r="AF7" s="186">
        <v>38909</v>
      </c>
      <c r="AG7" s="186">
        <v>119102</v>
      </c>
      <c r="AH7" s="186">
        <v>248</v>
      </c>
      <c r="AI7" s="186">
        <v>1028</v>
      </c>
      <c r="AJ7" s="186">
        <v>770</v>
      </c>
      <c r="AK7" s="186">
        <v>2991</v>
      </c>
      <c r="AL7" s="186"/>
      <c r="AM7" s="186"/>
      <c r="AN7" s="186"/>
      <c r="AO7" s="186"/>
      <c r="AP7" s="188">
        <v>414286.91200000001</v>
      </c>
      <c r="AQ7" s="189">
        <v>802343.86300000001</v>
      </c>
      <c r="AR7" s="186"/>
      <c r="AS7" s="186"/>
      <c r="AT7" s="186">
        <v>167234</v>
      </c>
      <c r="AU7" s="186">
        <v>1611178</v>
      </c>
      <c r="AV7" s="186">
        <v>25</v>
      </c>
      <c r="AW7" s="186">
        <v>103</v>
      </c>
      <c r="AX7" s="186">
        <v>15535</v>
      </c>
      <c r="AY7" s="186">
        <v>507337</v>
      </c>
      <c r="AZ7" s="186"/>
      <c r="BA7" s="186"/>
      <c r="BB7" s="186"/>
      <c r="BC7" s="186"/>
      <c r="BD7" s="190">
        <v>11474</v>
      </c>
      <c r="BE7" s="190">
        <v>33523</v>
      </c>
      <c r="BF7" s="186">
        <v>388</v>
      </c>
      <c r="BG7" s="186">
        <v>1606</v>
      </c>
      <c r="BH7" s="186">
        <v>498</v>
      </c>
      <c r="BI7" s="186">
        <v>2057</v>
      </c>
      <c r="BJ7" s="186"/>
      <c r="BK7" s="186"/>
      <c r="BL7" s="186">
        <v>115568</v>
      </c>
      <c r="BM7" s="186">
        <v>467326</v>
      </c>
      <c r="BN7" s="175">
        <v>257974</v>
      </c>
      <c r="BO7" s="175">
        <v>800728</v>
      </c>
      <c r="BP7" s="186">
        <v>249</v>
      </c>
      <c r="BQ7" s="186">
        <v>1028</v>
      </c>
      <c r="BR7" s="44">
        <f t="shared" si="0"/>
        <v>1039693.912</v>
      </c>
      <c r="BS7" s="44">
        <f t="shared" si="1"/>
        <v>4477496.8629999999</v>
      </c>
    </row>
    <row r="8" spans="1:71" s="191" customFormat="1" ht="15" customHeight="1" x14ac:dyDescent="0.25">
      <c r="A8" s="109" t="s">
        <v>343</v>
      </c>
      <c r="B8" s="186"/>
      <c r="C8" s="186"/>
      <c r="D8" s="186"/>
      <c r="E8" s="186"/>
      <c r="F8" s="186"/>
      <c r="G8" s="186"/>
      <c r="H8" s="186"/>
      <c r="I8" s="186"/>
      <c r="J8" s="187">
        <v>938454</v>
      </c>
      <c r="K8" s="186">
        <v>2449481</v>
      </c>
      <c r="L8" s="186">
        <v>131230</v>
      </c>
      <c r="M8" s="186">
        <v>268737</v>
      </c>
      <c r="N8" s="186">
        <v>1013097</v>
      </c>
      <c r="O8" s="186">
        <v>1146346</v>
      </c>
      <c r="P8" s="186"/>
      <c r="Q8" s="186"/>
      <c r="R8" s="186"/>
      <c r="S8" s="186"/>
      <c r="T8" s="186">
        <v>610</v>
      </c>
      <c r="U8" s="186">
        <v>1644</v>
      </c>
      <c r="V8" s="186"/>
      <c r="W8" s="186"/>
      <c r="X8" s="186">
        <v>111687</v>
      </c>
      <c r="Y8" s="186">
        <v>617016</v>
      </c>
      <c r="Z8" s="186">
        <v>4383</v>
      </c>
      <c r="AA8" s="186">
        <v>4567</v>
      </c>
      <c r="AD8" s="186"/>
      <c r="AE8" s="186"/>
      <c r="AF8" s="186">
        <v>1132169</v>
      </c>
      <c r="AG8" s="186">
        <v>1909575</v>
      </c>
      <c r="AH8" s="186">
        <v>985</v>
      </c>
      <c r="AI8" s="186">
        <v>10406</v>
      </c>
      <c r="AJ8" s="186">
        <v>65905</v>
      </c>
      <c r="AK8" s="186">
        <v>139924</v>
      </c>
      <c r="AL8" s="186"/>
      <c r="AM8" s="186"/>
      <c r="AN8" s="186"/>
      <c r="AO8" s="186"/>
      <c r="AP8" s="188">
        <v>3937151.5639999998</v>
      </c>
      <c r="AQ8" s="189">
        <v>2944418.0109999999</v>
      </c>
      <c r="AR8" s="186"/>
      <c r="AS8" s="186"/>
      <c r="AT8" s="186">
        <v>2438720</v>
      </c>
      <c r="AU8" s="186">
        <v>7246029</v>
      </c>
      <c r="AV8" s="186">
        <v>2823</v>
      </c>
      <c r="AW8" s="186">
        <v>3538</v>
      </c>
      <c r="AX8" s="186">
        <v>47630</v>
      </c>
      <c r="AY8" s="186">
        <v>1550642</v>
      </c>
      <c r="AZ8" s="186"/>
      <c r="BA8" s="186"/>
      <c r="BB8" s="186"/>
      <c r="BC8" s="186"/>
      <c r="BD8" s="190">
        <v>-67835</v>
      </c>
      <c r="BE8" s="190">
        <v>-358290</v>
      </c>
      <c r="BF8" s="186">
        <v>846676</v>
      </c>
      <c r="BG8" s="186">
        <v>2302206</v>
      </c>
      <c r="BH8" s="186">
        <v>10331</v>
      </c>
      <c r="BI8" s="186">
        <v>57967</v>
      </c>
      <c r="BJ8" s="186"/>
      <c r="BK8" s="186"/>
      <c r="BL8" s="186">
        <v>729041</v>
      </c>
      <c r="BM8" s="186">
        <v>2407595</v>
      </c>
      <c r="BN8" s="175">
        <v>1022188</v>
      </c>
      <c r="BO8" s="175">
        <v>3063862</v>
      </c>
      <c r="BP8" s="186">
        <v>141794</v>
      </c>
      <c r="BQ8" s="186">
        <v>398266</v>
      </c>
      <c r="BR8" s="44">
        <f t="shared" si="0"/>
        <v>12507039.563999999</v>
      </c>
      <c r="BS8" s="44">
        <f t="shared" si="1"/>
        <v>26163929.011</v>
      </c>
    </row>
    <row r="9" spans="1:71" s="191" customFormat="1" ht="15" customHeight="1" x14ac:dyDescent="0.25">
      <c r="A9" s="109" t="s">
        <v>344</v>
      </c>
      <c r="B9" s="186"/>
      <c r="C9" s="186"/>
      <c r="D9" s="186"/>
      <c r="E9" s="186"/>
      <c r="F9" s="186"/>
      <c r="G9" s="186"/>
      <c r="H9" s="186"/>
      <c r="I9" s="186"/>
      <c r="J9" s="187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95"/>
      <c r="AQ9" s="19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90"/>
      <c r="BE9" s="190"/>
      <c r="BF9" s="186"/>
      <c r="BG9" s="186"/>
      <c r="BH9" s="186"/>
      <c r="BI9" s="186"/>
      <c r="BJ9" s="186"/>
      <c r="BK9" s="186"/>
      <c r="BL9" s="186"/>
      <c r="BM9" s="186"/>
      <c r="BN9" s="175"/>
      <c r="BO9" s="175"/>
      <c r="BP9" s="186"/>
      <c r="BQ9" s="186"/>
      <c r="BR9" s="44">
        <f t="shared" si="0"/>
        <v>0</v>
      </c>
      <c r="BS9" s="44">
        <f t="shared" si="1"/>
        <v>0</v>
      </c>
    </row>
    <row r="10" spans="1:71" s="191" customFormat="1" ht="15" customHeight="1" x14ac:dyDescent="0.25">
      <c r="A10" s="109" t="s">
        <v>345</v>
      </c>
      <c r="B10" s="186"/>
      <c r="C10" s="186"/>
      <c r="D10" s="186"/>
      <c r="E10" s="186"/>
      <c r="F10" s="186"/>
      <c r="G10" s="186"/>
      <c r="H10" s="186"/>
      <c r="I10" s="186"/>
      <c r="J10" s="187">
        <v>-69525</v>
      </c>
      <c r="K10" s="186">
        <v>1508662</v>
      </c>
      <c r="L10" s="186">
        <v>-5216</v>
      </c>
      <c r="M10" s="186">
        <v>256889</v>
      </c>
      <c r="N10" s="186">
        <v>-122100</v>
      </c>
      <c r="O10" s="186">
        <v>227520</v>
      </c>
      <c r="P10" s="186"/>
      <c r="Q10" s="186"/>
      <c r="R10" s="186"/>
      <c r="S10" s="186"/>
      <c r="T10" s="186">
        <v>15895</v>
      </c>
      <c r="U10" s="186">
        <v>15895</v>
      </c>
      <c r="V10" s="186"/>
      <c r="W10" s="186"/>
      <c r="X10" s="186">
        <v>637501</v>
      </c>
      <c r="Y10" s="186">
        <v>637501</v>
      </c>
      <c r="Z10" s="186">
        <v>5769</v>
      </c>
      <c r="AA10" s="186">
        <v>79663</v>
      </c>
      <c r="AB10" s="186">
        <v>8154893</v>
      </c>
      <c r="AC10" s="186">
        <v>8154893</v>
      </c>
      <c r="AD10" s="186">
        <v>16778993</v>
      </c>
      <c r="AE10" s="186">
        <v>16778993</v>
      </c>
      <c r="AF10" s="186">
        <v>44601</v>
      </c>
      <c r="AG10" s="186">
        <v>815656</v>
      </c>
      <c r="AH10" s="186">
        <v>26672</v>
      </c>
      <c r="AI10" s="186">
        <v>26672</v>
      </c>
      <c r="AJ10" s="186">
        <v>1104635</v>
      </c>
      <c r="AK10" s="186">
        <v>1104635</v>
      </c>
      <c r="AL10" s="186">
        <v>1392269</v>
      </c>
      <c r="AM10" s="186">
        <v>1392269</v>
      </c>
      <c r="AN10" s="186"/>
      <c r="AO10" s="186"/>
      <c r="AP10" s="195">
        <v>1092197.1750000003</v>
      </c>
      <c r="AQ10" s="196">
        <v>15448689.582999997</v>
      </c>
      <c r="AR10" s="186">
        <v>47966375</v>
      </c>
      <c r="AS10" s="186">
        <v>47966375</v>
      </c>
      <c r="AT10" s="186">
        <v>1436958</v>
      </c>
      <c r="AU10" s="186">
        <v>23579151</v>
      </c>
      <c r="AV10" s="186">
        <v>-1431</v>
      </c>
      <c r="AW10" s="186">
        <v>2751</v>
      </c>
      <c r="AX10" s="186">
        <v>941474</v>
      </c>
      <c r="AY10" s="186">
        <v>991935</v>
      </c>
      <c r="AZ10" s="186"/>
      <c r="BA10" s="186"/>
      <c r="BB10" s="186"/>
      <c r="BC10" s="186"/>
      <c r="BD10" s="190">
        <v>240079</v>
      </c>
      <c r="BE10" s="190">
        <v>2345951</v>
      </c>
      <c r="BF10" s="186">
        <v>1090749</v>
      </c>
      <c r="BG10" s="186">
        <v>1090749</v>
      </c>
      <c r="BH10" s="186">
        <v>186350</v>
      </c>
      <c r="BI10" s="186">
        <v>186350</v>
      </c>
      <c r="BJ10" s="186"/>
      <c r="BK10" s="186"/>
      <c r="BL10" s="186">
        <v>659247</v>
      </c>
      <c r="BM10" s="186">
        <v>659247</v>
      </c>
      <c r="BN10" s="175">
        <v>14350874</v>
      </c>
      <c r="BO10" s="175">
        <v>14350874</v>
      </c>
      <c r="BP10" s="186">
        <v>-15695</v>
      </c>
      <c r="BQ10" s="186">
        <v>320604</v>
      </c>
      <c r="BR10" s="44">
        <f t="shared" si="0"/>
        <v>95911564.174999997</v>
      </c>
      <c r="BS10" s="44">
        <f t="shared" si="1"/>
        <v>137941924.583</v>
      </c>
    </row>
    <row r="11" spans="1:71" s="191" customFormat="1" ht="15" customHeight="1" x14ac:dyDescent="0.25">
      <c r="A11" s="109" t="s">
        <v>346</v>
      </c>
      <c r="B11" s="186"/>
      <c r="C11" s="186"/>
      <c r="D11" s="186"/>
      <c r="E11" s="186"/>
      <c r="F11" s="186"/>
      <c r="G11" s="186"/>
      <c r="H11" s="186"/>
      <c r="I11" s="186"/>
      <c r="J11" s="187"/>
      <c r="K11" s="186">
        <v>1130024</v>
      </c>
      <c r="L11" s="186"/>
      <c r="M11" s="186">
        <v>184757</v>
      </c>
      <c r="N11" s="186"/>
      <c r="O11" s="186">
        <v>199819</v>
      </c>
      <c r="P11" s="186"/>
      <c r="Q11" s="186"/>
      <c r="R11" s="186"/>
      <c r="S11" s="186"/>
      <c r="T11" s="186">
        <v>11937</v>
      </c>
      <c r="U11" s="186"/>
      <c r="V11" s="186"/>
      <c r="W11" s="186"/>
      <c r="X11" s="186">
        <v>748449</v>
      </c>
      <c r="Y11" s="186">
        <v>459678</v>
      </c>
      <c r="Z11" s="186">
        <v>0</v>
      </c>
      <c r="AA11" s="186">
        <v>1899</v>
      </c>
      <c r="AB11" s="186">
        <v>-8428650</v>
      </c>
      <c r="AC11" s="186">
        <v>-7727653</v>
      </c>
      <c r="AD11" s="186">
        <v>17240982</v>
      </c>
      <c r="AE11" s="186">
        <v>15051316</v>
      </c>
      <c r="AF11" s="186"/>
      <c r="AG11" s="186">
        <v>711837</v>
      </c>
      <c r="AH11" s="186">
        <v>20847</v>
      </c>
      <c r="AI11" s="186">
        <v>6197</v>
      </c>
      <c r="AJ11" s="186">
        <v>823408</v>
      </c>
      <c r="AK11" s="186">
        <v>710371</v>
      </c>
      <c r="AL11" s="186">
        <v>-1499581</v>
      </c>
      <c r="AM11" s="186">
        <v>-901763</v>
      </c>
      <c r="AN11" s="186"/>
      <c r="AO11" s="186"/>
      <c r="AP11" s="195">
        <v>-1.0000020265579224E-3</v>
      </c>
      <c r="AQ11" s="196">
        <v>14892370.590999998</v>
      </c>
      <c r="AR11" s="186">
        <v>52055609</v>
      </c>
      <c r="AS11" s="186">
        <v>42440113</v>
      </c>
      <c r="AT11" s="186">
        <v>0</v>
      </c>
      <c r="AU11" s="186">
        <v>17661145</v>
      </c>
      <c r="AV11" s="186"/>
      <c r="AW11" s="186">
        <v>3732</v>
      </c>
      <c r="AX11" s="186">
        <v>941474</v>
      </c>
      <c r="AY11" s="186">
        <v>879670</v>
      </c>
      <c r="AZ11" s="186"/>
      <c r="BA11" s="186"/>
      <c r="BB11" s="186"/>
      <c r="BC11" s="186"/>
      <c r="BD11" s="190"/>
      <c r="BE11" s="190">
        <v>-1406381</v>
      </c>
      <c r="BF11" s="186">
        <v>1328908</v>
      </c>
      <c r="BG11" s="186">
        <v>887260</v>
      </c>
      <c r="BH11" s="186">
        <v>225521</v>
      </c>
      <c r="BI11" s="186">
        <v>161115</v>
      </c>
      <c r="BJ11" s="186"/>
      <c r="BK11" s="186"/>
      <c r="BL11" s="186">
        <v>694602</v>
      </c>
      <c r="BM11" s="186">
        <v>354315</v>
      </c>
      <c r="BN11" s="175">
        <v>16229712</v>
      </c>
      <c r="BO11" s="175">
        <v>14323406</v>
      </c>
      <c r="BP11" s="186"/>
      <c r="BQ11" s="186">
        <v>240603</v>
      </c>
      <c r="BR11" s="44">
        <f t="shared" si="0"/>
        <v>80393217.998999998</v>
      </c>
      <c r="BS11" s="44">
        <f t="shared" si="1"/>
        <v>100263830.59099999</v>
      </c>
    </row>
    <row r="12" spans="1:71" x14ac:dyDescent="0.25">
      <c r="A12" s="107" t="s">
        <v>347</v>
      </c>
      <c r="B12" s="44"/>
      <c r="C12" s="44"/>
      <c r="D12" s="44"/>
      <c r="E12" s="44"/>
      <c r="F12" s="44"/>
      <c r="G12" s="44"/>
      <c r="H12" s="44"/>
      <c r="I12" s="44"/>
      <c r="J12" s="123">
        <v>296406</v>
      </c>
      <c r="K12" s="44">
        <v>1396888</v>
      </c>
      <c r="L12" s="44">
        <v>18199</v>
      </c>
      <c r="M12" s="44">
        <v>121563</v>
      </c>
      <c r="N12" s="44">
        <v>32916</v>
      </c>
      <c r="O12" s="44">
        <v>369535</v>
      </c>
      <c r="P12" s="44"/>
      <c r="Q12" s="44"/>
      <c r="R12" s="44">
        <v>17628</v>
      </c>
      <c r="S12" s="44">
        <v>64694</v>
      </c>
      <c r="T12" s="44">
        <v>6165</v>
      </c>
      <c r="U12" s="44">
        <v>14565</v>
      </c>
      <c r="V12" s="44"/>
      <c r="W12" s="44"/>
      <c r="X12" s="44">
        <v>-25255</v>
      </c>
      <c r="Y12" s="44">
        <v>447138</v>
      </c>
      <c r="Z12" s="44">
        <v>6367</v>
      </c>
      <c r="AA12" s="44">
        <v>78452</v>
      </c>
      <c r="AB12" s="44">
        <v>30117</v>
      </c>
      <c r="AC12" s="44">
        <v>528742</v>
      </c>
      <c r="AD12" s="44">
        <v>366911</v>
      </c>
      <c r="AE12" s="44">
        <v>1313631</v>
      </c>
      <c r="AF12" s="44">
        <v>124736</v>
      </c>
      <c r="AG12" s="44">
        <v>305815</v>
      </c>
      <c r="AH12" s="44">
        <v>6290</v>
      </c>
      <c r="AI12" s="44">
        <v>29163</v>
      </c>
      <c r="AJ12" s="44">
        <v>34038</v>
      </c>
      <c r="AK12" s="44">
        <v>79502</v>
      </c>
      <c r="AL12" s="44">
        <v>8886</v>
      </c>
      <c r="AM12" s="44">
        <v>57523</v>
      </c>
      <c r="AN12" s="44"/>
      <c r="AO12" s="44"/>
      <c r="AP12" s="44">
        <v>-57177.482999998145</v>
      </c>
      <c r="AQ12" s="44">
        <v>3898635.7559999973</v>
      </c>
      <c r="AR12" s="44">
        <v>4486908</v>
      </c>
      <c r="AS12" s="44">
        <v>21380842</v>
      </c>
      <c r="AT12" s="44">
        <v>1610078</v>
      </c>
      <c r="AU12" s="44">
        <v>6771648</v>
      </c>
      <c r="AV12" s="44">
        <v>-527</v>
      </c>
      <c r="AW12" s="44">
        <v>225</v>
      </c>
      <c r="AX12" s="44">
        <v>102049</v>
      </c>
      <c r="AY12" s="44">
        <v>564240</v>
      </c>
      <c r="AZ12" s="44"/>
      <c r="BA12" s="44"/>
      <c r="BB12" s="44"/>
      <c r="BC12" s="44"/>
      <c r="BD12" s="51">
        <v>56173</v>
      </c>
      <c r="BE12" s="117">
        <v>240407</v>
      </c>
      <c r="BF12" s="44">
        <v>-17056</v>
      </c>
      <c r="BG12" s="44">
        <v>1136924</v>
      </c>
      <c r="BH12" s="44">
        <v>-27364</v>
      </c>
      <c r="BI12" s="44">
        <v>98682</v>
      </c>
      <c r="BJ12" s="44"/>
      <c r="BK12" s="44"/>
      <c r="BL12" s="44">
        <v>146817</v>
      </c>
      <c r="BM12" s="44">
        <v>797559</v>
      </c>
      <c r="BN12" s="124">
        <v>1092162</v>
      </c>
      <c r="BO12" s="124">
        <v>6874134</v>
      </c>
      <c r="BP12" s="44">
        <v>26300</v>
      </c>
      <c r="BQ12" s="44">
        <v>207396</v>
      </c>
      <c r="BR12" s="44">
        <f t="shared" si="0"/>
        <v>8341766.5170000019</v>
      </c>
      <c r="BS12" s="44">
        <f t="shared" si="1"/>
        <v>46777903.755999997</v>
      </c>
    </row>
    <row r="13" spans="1:71" x14ac:dyDescent="0.25">
      <c r="BD13" s="106"/>
      <c r="BE13" s="106"/>
    </row>
    <row r="14" spans="1:71" s="13" customFormat="1" x14ac:dyDescent="0.25">
      <c r="A14" s="7" t="s">
        <v>167</v>
      </c>
      <c r="BN14" s="184"/>
      <c r="BO14" s="184"/>
    </row>
    <row r="15" spans="1:71" s="15" customFormat="1" x14ac:dyDescent="0.25">
      <c r="A15" s="23" t="s">
        <v>0</v>
      </c>
      <c r="B15" s="200" t="s">
        <v>1</v>
      </c>
      <c r="C15" s="200"/>
      <c r="D15" s="200" t="s">
        <v>2</v>
      </c>
      <c r="E15" s="200"/>
      <c r="F15" s="200" t="s">
        <v>3</v>
      </c>
      <c r="G15" s="200"/>
      <c r="H15" s="200" t="s">
        <v>4</v>
      </c>
      <c r="I15" s="200"/>
      <c r="J15" s="200" t="s">
        <v>5</v>
      </c>
      <c r="K15" s="200"/>
      <c r="L15" s="200" t="s">
        <v>6</v>
      </c>
      <c r="M15" s="200"/>
      <c r="N15" s="200" t="s">
        <v>7</v>
      </c>
      <c r="O15" s="200"/>
      <c r="P15" s="200" t="s">
        <v>8</v>
      </c>
      <c r="Q15" s="200"/>
      <c r="R15" s="200" t="s">
        <v>9</v>
      </c>
      <c r="S15" s="200"/>
      <c r="T15" s="200" t="s">
        <v>10</v>
      </c>
      <c r="U15" s="200"/>
      <c r="V15" s="200" t="s">
        <v>11</v>
      </c>
      <c r="W15" s="200"/>
      <c r="X15" s="200" t="s">
        <v>12</v>
      </c>
      <c r="Y15" s="200"/>
      <c r="Z15" s="200" t="s">
        <v>13</v>
      </c>
      <c r="AA15" s="200"/>
      <c r="AB15" s="200" t="s">
        <v>14</v>
      </c>
      <c r="AC15" s="200"/>
      <c r="AD15" s="200" t="s">
        <v>15</v>
      </c>
      <c r="AE15" s="200"/>
      <c r="AF15" s="200" t="s">
        <v>16</v>
      </c>
      <c r="AG15" s="200"/>
      <c r="AH15" s="200" t="s">
        <v>17</v>
      </c>
      <c r="AI15" s="200"/>
      <c r="AJ15" s="200" t="s">
        <v>18</v>
      </c>
      <c r="AK15" s="200"/>
      <c r="AL15" s="200" t="s">
        <v>19</v>
      </c>
      <c r="AM15" s="200"/>
      <c r="AN15" s="200" t="s">
        <v>20</v>
      </c>
      <c r="AO15" s="200"/>
      <c r="AP15" s="200" t="s">
        <v>21</v>
      </c>
      <c r="AQ15" s="200"/>
      <c r="AR15" s="200" t="s">
        <v>147</v>
      </c>
      <c r="AS15" s="200"/>
      <c r="AT15" s="200" t="s">
        <v>148</v>
      </c>
      <c r="AU15" s="200"/>
      <c r="AV15" s="200" t="s">
        <v>22</v>
      </c>
      <c r="AW15" s="200"/>
      <c r="AX15" s="200" t="s">
        <v>23</v>
      </c>
      <c r="AY15" s="200"/>
      <c r="AZ15" s="200" t="s">
        <v>332</v>
      </c>
      <c r="BA15" s="200"/>
      <c r="BB15" s="200" t="s">
        <v>24</v>
      </c>
      <c r="BC15" s="200"/>
      <c r="BD15" s="200" t="s">
        <v>25</v>
      </c>
      <c r="BE15" s="200"/>
      <c r="BF15" s="200" t="s">
        <v>26</v>
      </c>
      <c r="BG15" s="200"/>
      <c r="BH15" s="200" t="s">
        <v>27</v>
      </c>
      <c r="BI15" s="200"/>
      <c r="BJ15" s="200" t="s">
        <v>28</v>
      </c>
      <c r="BK15" s="200"/>
      <c r="BL15" s="200" t="s">
        <v>29</v>
      </c>
      <c r="BM15" s="200"/>
      <c r="BN15" s="201" t="s">
        <v>30</v>
      </c>
      <c r="BO15" s="201"/>
      <c r="BP15" s="200" t="s">
        <v>31</v>
      </c>
      <c r="BQ15" s="200"/>
      <c r="BR15" s="200" t="s">
        <v>250</v>
      </c>
      <c r="BS15" s="200"/>
    </row>
    <row r="16" spans="1:71" s="42" customFormat="1" ht="44.25" customHeight="1" x14ac:dyDescent="0.25">
      <c r="A16" s="43"/>
      <c r="B16" s="43" t="s">
        <v>321</v>
      </c>
      <c r="C16" s="43" t="s">
        <v>322</v>
      </c>
      <c r="D16" s="43" t="s">
        <v>321</v>
      </c>
      <c r="E16" s="43" t="s">
        <v>322</v>
      </c>
      <c r="F16" s="43" t="s">
        <v>321</v>
      </c>
      <c r="G16" s="43" t="s">
        <v>322</v>
      </c>
      <c r="H16" s="43" t="s">
        <v>321</v>
      </c>
      <c r="I16" s="43" t="s">
        <v>322</v>
      </c>
      <c r="J16" s="43" t="s">
        <v>321</v>
      </c>
      <c r="K16" s="43" t="s">
        <v>322</v>
      </c>
      <c r="L16" s="43" t="s">
        <v>321</v>
      </c>
      <c r="M16" s="43" t="s">
        <v>322</v>
      </c>
      <c r="N16" s="43" t="s">
        <v>321</v>
      </c>
      <c r="O16" s="43" t="s">
        <v>322</v>
      </c>
      <c r="P16" s="43" t="s">
        <v>321</v>
      </c>
      <c r="Q16" s="43" t="s">
        <v>322</v>
      </c>
      <c r="R16" s="43" t="s">
        <v>321</v>
      </c>
      <c r="S16" s="43" t="s">
        <v>322</v>
      </c>
      <c r="T16" s="43" t="s">
        <v>321</v>
      </c>
      <c r="U16" s="43" t="s">
        <v>322</v>
      </c>
      <c r="V16" s="43" t="s">
        <v>321</v>
      </c>
      <c r="W16" s="43" t="s">
        <v>322</v>
      </c>
      <c r="X16" s="43" t="s">
        <v>321</v>
      </c>
      <c r="Y16" s="43" t="s">
        <v>322</v>
      </c>
      <c r="Z16" s="43" t="s">
        <v>321</v>
      </c>
      <c r="AA16" s="43" t="s">
        <v>322</v>
      </c>
      <c r="AB16" s="43" t="s">
        <v>321</v>
      </c>
      <c r="AC16" s="43" t="s">
        <v>322</v>
      </c>
      <c r="AD16" s="43" t="s">
        <v>321</v>
      </c>
      <c r="AE16" s="43" t="s">
        <v>322</v>
      </c>
      <c r="AF16" s="43" t="s">
        <v>321</v>
      </c>
      <c r="AG16" s="43" t="s">
        <v>322</v>
      </c>
      <c r="AH16" s="43" t="s">
        <v>321</v>
      </c>
      <c r="AI16" s="43" t="s">
        <v>322</v>
      </c>
      <c r="AJ16" s="43" t="s">
        <v>321</v>
      </c>
      <c r="AK16" s="43" t="s">
        <v>322</v>
      </c>
      <c r="AL16" s="43" t="s">
        <v>321</v>
      </c>
      <c r="AM16" s="43" t="s">
        <v>322</v>
      </c>
      <c r="AN16" s="43" t="s">
        <v>321</v>
      </c>
      <c r="AO16" s="43" t="s">
        <v>322</v>
      </c>
      <c r="AP16" s="43" t="s">
        <v>321</v>
      </c>
      <c r="AQ16" s="43" t="s">
        <v>322</v>
      </c>
      <c r="AR16" s="43" t="s">
        <v>321</v>
      </c>
      <c r="AS16" s="43" t="s">
        <v>322</v>
      </c>
      <c r="AT16" s="43" t="s">
        <v>321</v>
      </c>
      <c r="AU16" s="43" t="s">
        <v>322</v>
      </c>
      <c r="AV16" s="43" t="s">
        <v>321</v>
      </c>
      <c r="AW16" s="43" t="s">
        <v>322</v>
      </c>
      <c r="AX16" s="43" t="s">
        <v>321</v>
      </c>
      <c r="AY16" s="43" t="s">
        <v>322</v>
      </c>
      <c r="AZ16" s="43" t="s">
        <v>321</v>
      </c>
      <c r="BA16" s="43" t="s">
        <v>322</v>
      </c>
      <c r="BB16" s="43" t="s">
        <v>321</v>
      </c>
      <c r="BC16" s="43" t="s">
        <v>322</v>
      </c>
      <c r="BD16" s="43" t="s">
        <v>321</v>
      </c>
      <c r="BE16" s="43" t="s">
        <v>322</v>
      </c>
      <c r="BF16" s="43" t="s">
        <v>321</v>
      </c>
      <c r="BG16" s="43" t="s">
        <v>322</v>
      </c>
      <c r="BH16" s="43" t="s">
        <v>321</v>
      </c>
      <c r="BI16" s="43" t="s">
        <v>322</v>
      </c>
      <c r="BJ16" s="43" t="s">
        <v>321</v>
      </c>
      <c r="BK16" s="43" t="s">
        <v>322</v>
      </c>
      <c r="BL16" s="43" t="s">
        <v>321</v>
      </c>
      <c r="BM16" s="43" t="s">
        <v>322</v>
      </c>
      <c r="BN16" s="183" t="s">
        <v>321</v>
      </c>
      <c r="BO16" s="183" t="s">
        <v>322</v>
      </c>
      <c r="BP16" s="43" t="s">
        <v>321</v>
      </c>
      <c r="BQ16" s="43" t="s">
        <v>322</v>
      </c>
      <c r="BR16" s="43" t="s">
        <v>321</v>
      </c>
      <c r="BS16" s="43" t="s">
        <v>322</v>
      </c>
    </row>
    <row r="17" spans="1:71" s="191" customFormat="1" ht="15" customHeight="1" x14ac:dyDescent="0.25">
      <c r="A17" s="109" t="s">
        <v>68</v>
      </c>
      <c r="B17" s="186"/>
      <c r="C17" s="186"/>
      <c r="D17" s="186"/>
      <c r="E17" s="186"/>
      <c r="F17" s="186"/>
      <c r="G17" s="186"/>
      <c r="H17" s="186"/>
      <c r="I17" s="186"/>
      <c r="J17" s="186">
        <v>606940</v>
      </c>
      <c r="K17" s="186">
        <v>1343600</v>
      </c>
      <c r="L17" s="186">
        <v>266521</v>
      </c>
      <c r="M17" s="186">
        <v>429700</v>
      </c>
      <c r="N17" s="186">
        <v>178425</v>
      </c>
      <c r="O17" s="186">
        <v>445611</v>
      </c>
      <c r="P17" s="186"/>
      <c r="Q17" s="186"/>
      <c r="R17" s="186"/>
      <c r="S17" s="186"/>
      <c r="T17" s="186"/>
      <c r="U17" s="186"/>
      <c r="V17" s="186"/>
      <c r="W17" s="186"/>
      <c r="X17" s="186">
        <v>163226</v>
      </c>
      <c r="Y17" s="186">
        <v>439556</v>
      </c>
      <c r="Z17" s="186"/>
      <c r="AA17" s="186"/>
      <c r="AB17" s="186">
        <f>53517+314779</f>
        <v>368296</v>
      </c>
      <c r="AC17" s="186">
        <f>138058+1142649</f>
        <v>1280707</v>
      </c>
      <c r="AD17" s="186">
        <v>682281</v>
      </c>
      <c r="AE17" s="186">
        <v>2269836</v>
      </c>
      <c r="AF17" s="186">
        <v>294956</v>
      </c>
      <c r="AG17" s="186">
        <v>1248700</v>
      </c>
      <c r="AH17" s="186"/>
      <c r="AI17" s="186"/>
      <c r="AJ17" s="186">
        <v>37788</v>
      </c>
      <c r="AK17" s="186">
        <v>173818</v>
      </c>
      <c r="AL17" s="186">
        <v>44857</v>
      </c>
      <c r="AM17" s="186">
        <v>131057</v>
      </c>
      <c r="AN17" s="186"/>
      <c r="AO17" s="186"/>
      <c r="AP17" s="186">
        <v>409098.435</v>
      </c>
      <c r="AQ17" s="186">
        <v>1021785.7120000001</v>
      </c>
      <c r="AR17" s="186">
        <v>1404110</v>
      </c>
      <c r="AS17" s="186">
        <v>6145625</v>
      </c>
      <c r="AT17" s="186">
        <v>583770</v>
      </c>
      <c r="AU17" s="186">
        <v>2652548</v>
      </c>
      <c r="AV17" s="186"/>
      <c r="AW17" s="186"/>
      <c r="AX17" s="186">
        <v>521597</v>
      </c>
      <c r="AY17" s="186">
        <v>1183331</v>
      </c>
      <c r="AZ17" s="186"/>
      <c r="BA17" s="186"/>
      <c r="BB17" s="186"/>
      <c r="BC17" s="186"/>
      <c r="BD17" s="190">
        <v>75509</v>
      </c>
      <c r="BE17" s="190">
        <v>211684</v>
      </c>
      <c r="BF17" s="186">
        <v>19584</v>
      </c>
      <c r="BG17" s="186">
        <v>95544</v>
      </c>
      <c r="BH17" s="186">
        <v>1508</v>
      </c>
      <c r="BI17" s="186">
        <v>6774</v>
      </c>
      <c r="BJ17" s="186"/>
      <c r="BK17" s="186"/>
      <c r="BL17" s="186">
        <v>757443</v>
      </c>
      <c r="BM17" s="186">
        <v>2444670</v>
      </c>
      <c r="BN17" s="175">
        <v>690893</v>
      </c>
      <c r="BO17" s="175">
        <v>2805737</v>
      </c>
      <c r="BP17" s="186">
        <v>50985</v>
      </c>
      <c r="BQ17" s="186">
        <v>167296</v>
      </c>
      <c r="BR17" s="44">
        <f t="shared" ref="BR17:BR23" si="2">B17+D17+F17+H17+J17+L17+N17+P17+R17+T17+V17+X17+Z17+AB17+AD17+AF17+AH17+AJ17+AL17+AN17+AP17+AR17+AT17+AV17+AX17+BB17+BD17+BF17+BH17+BJ17+BL17+BN17+BP17</f>
        <v>7157787.4350000005</v>
      </c>
      <c r="BS17" s="44">
        <f t="shared" ref="BS17:BS23" si="3">C17+E17+G17+I17+K17+M17+O17+Q17+S17+U17+W17+Y17+AA17+AC17+AE17+AG17+AI17+AK17+AM17+AO17+AQ17+AS17+AU17+AW17+AY17+BC17+BE17+BG17+BI17+BK17+BM17+BO17+BQ17</f>
        <v>24497579.711999997</v>
      </c>
    </row>
    <row r="18" spans="1:71" s="191" customFormat="1" ht="15" customHeight="1" x14ac:dyDescent="0.25">
      <c r="A18" s="109" t="s">
        <v>342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>
        <v>1724</v>
      </c>
      <c r="L18" s="186">
        <v>746</v>
      </c>
      <c r="M18" s="186">
        <v>9215</v>
      </c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>
        <v>1393</v>
      </c>
      <c r="Z18" s="186"/>
      <c r="AA18" s="186"/>
      <c r="AB18" s="186"/>
      <c r="AC18" s="186"/>
      <c r="AD18" s="186"/>
      <c r="AE18" s="186"/>
      <c r="AF18" s="186">
        <v>1578</v>
      </c>
      <c r="AG18" s="186">
        <v>34150</v>
      </c>
      <c r="AH18" s="186"/>
      <c r="AI18" s="186"/>
      <c r="AJ18" s="186"/>
      <c r="AK18" s="186"/>
      <c r="AL18" s="186"/>
      <c r="AM18" s="186"/>
      <c r="AN18" s="186"/>
      <c r="AO18" s="186"/>
      <c r="AP18" s="197">
        <v>341339.93900000001</v>
      </c>
      <c r="AQ18" s="189">
        <v>509120.22</v>
      </c>
      <c r="AR18" s="186"/>
      <c r="AS18" s="186"/>
      <c r="AT18" s="186">
        <v>-103147</v>
      </c>
      <c r="AU18" s="186">
        <v>86902</v>
      </c>
      <c r="AV18" s="186"/>
      <c r="AW18" s="186"/>
      <c r="AX18" s="186">
        <v>248</v>
      </c>
      <c r="AY18" s="186">
        <v>248</v>
      </c>
      <c r="AZ18" s="186"/>
      <c r="BA18" s="186"/>
      <c r="BB18" s="186"/>
      <c r="BC18" s="186"/>
      <c r="BD18" s="190"/>
      <c r="BE18" s="190"/>
      <c r="BF18" s="186"/>
      <c r="BG18" s="186"/>
      <c r="BH18" s="186"/>
      <c r="BI18" s="186"/>
      <c r="BJ18" s="186"/>
      <c r="BK18" s="186"/>
      <c r="BL18" s="186">
        <v>3204</v>
      </c>
      <c r="BM18" s="186">
        <v>24991</v>
      </c>
      <c r="BN18" s="175">
        <v>105880</v>
      </c>
      <c r="BO18" s="175">
        <v>315125</v>
      </c>
      <c r="BP18" s="186"/>
      <c r="BQ18" s="186"/>
      <c r="BR18" s="44">
        <f t="shared" si="2"/>
        <v>349848.93900000001</v>
      </c>
      <c r="BS18" s="44">
        <f t="shared" si="3"/>
        <v>982868.22</v>
      </c>
    </row>
    <row r="19" spans="1:71" s="191" customFormat="1" ht="15" customHeight="1" x14ac:dyDescent="0.25">
      <c r="A19" s="109" t="s">
        <v>343</v>
      </c>
      <c r="B19" s="186"/>
      <c r="C19" s="186"/>
      <c r="D19" s="186"/>
      <c r="E19" s="186"/>
      <c r="F19" s="186"/>
      <c r="G19" s="186"/>
      <c r="H19" s="186"/>
      <c r="I19" s="186"/>
      <c r="J19" s="186">
        <v>339979</v>
      </c>
      <c r="K19" s="186">
        <v>519546</v>
      </c>
      <c r="L19" s="186">
        <v>197524</v>
      </c>
      <c r="M19" s="186">
        <v>254215</v>
      </c>
      <c r="N19" s="186">
        <v>133071</v>
      </c>
      <c r="O19" s="186">
        <v>347201</v>
      </c>
      <c r="P19" s="186"/>
      <c r="Q19" s="186"/>
      <c r="R19" s="186"/>
      <c r="S19" s="186"/>
      <c r="T19" s="186">
        <v>397</v>
      </c>
      <c r="U19" s="186">
        <v>589</v>
      </c>
      <c r="V19" s="186"/>
      <c r="W19" s="186"/>
      <c r="X19" s="186">
        <v>61704</v>
      </c>
      <c r="Y19" s="186">
        <v>133526</v>
      </c>
      <c r="Z19" s="186"/>
      <c r="AA19" s="186"/>
      <c r="AB19" s="186"/>
      <c r="AC19" s="186"/>
      <c r="AD19" s="186"/>
      <c r="AE19" s="186"/>
      <c r="AF19" s="186">
        <v>170286</v>
      </c>
      <c r="AG19" s="186">
        <v>859100</v>
      </c>
      <c r="AH19" s="186"/>
      <c r="AI19" s="186"/>
      <c r="AJ19" s="186">
        <v>9813</v>
      </c>
      <c r="AK19" s="186">
        <v>56860</v>
      </c>
      <c r="AL19" s="186"/>
      <c r="AM19" s="186"/>
      <c r="AN19" s="186"/>
      <c r="AO19" s="186"/>
      <c r="AP19" s="197">
        <v>211918.64600000001</v>
      </c>
      <c r="AQ19" s="189">
        <v>337255.19400000002</v>
      </c>
      <c r="AR19" s="186"/>
      <c r="AS19" s="186"/>
      <c r="AT19" s="186">
        <v>-12164</v>
      </c>
      <c r="AU19" s="186">
        <v>653737</v>
      </c>
      <c r="AV19" s="186"/>
      <c r="AW19" s="186"/>
      <c r="AX19" s="186">
        <v>479381</v>
      </c>
      <c r="AY19" s="186">
        <v>1057648</v>
      </c>
      <c r="AZ19" s="186"/>
      <c r="BA19" s="186"/>
      <c r="BB19" s="186"/>
      <c r="BC19" s="186"/>
      <c r="BD19" s="190">
        <v>-34872</v>
      </c>
      <c r="BE19" s="190">
        <v>-114208</v>
      </c>
      <c r="BF19" s="186">
        <v>1352</v>
      </c>
      <c r="BG19" s="186">
        <v>6871</v>
      </c>
      <c r="BH19" s="186">
        <v>414</v>
      </c>
      <c r="BI19" s="186">
        <v>1552</v>
      </c>
      <c r="BJ19" s="186"/>
      <c r="BK19" s="186"/>
      <c r="BL19" s="186">
        <v>79230</v>
      </c>
      <c r="BM19" s="186">
        <v>337830</v>
      </c>
      <c r="BN19" s="175">
        <v>80558</v>
      </c>
      <c r="BO19" s="175">
        <v>1089054</v>
      </c>
      <c r="BP19" s="186">
        <f>29395+7702</f>
        <v>37097</v>
      </c>
      <c r="BQ19" s="186">
        <f>110655+7702</f>
        <v>118357</v>
      </c>
      <c r="BR19" s="44">
        <f t="shared" si="2"/>
        <v>1755688.6459999999</v>
      </c>
      <c r="BS19" s="44">
        <f t="shared" si="3"/>
        <v>5659133.1940000001</v>
      </c>
    </row>
    <row r="20" spans="1:71" s="191" customFormat="1" ht="15" customHeight="1" x14ac:dyDescent="0.25">
      <c r="A20" s="109" t="s">
        <v>344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98"/>
      <c r="AQ20" s="19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90"/>
      <c r="BE20" s="190"/>
      <c r="BF20" s="186"/>
      <c r="BG20" s="186"/>
      <c r="BH20" s="186"/>
      <c r="BI20" s="186"/>
      <c r="BJ20" s="186"/>
      <c r="BK20" s="186"/>
      <c r="BL20" s="186"/>
      <c r="BM20" s="186"/>
      <c r="BN20" s="175"/>
      <c r="BO20" s="175"/>
      <c r="BP20" s="186"/>
      <c r="BQ20" s="186"/>
      <c r="BR20" s="44">
        <f t="shared" si="2"/>
        <v>0</v>
      </c>
      <c r="BS20" s="44">
        <f t="shared" si="3"/>
        <v>0</v>
      </c>
    </row>
    <row r="21" spans="1:71" s="191" customFormat="1" ht="15" customHeight="1" x14ac:dyDescent="0.25">
      <c r="A21" s="109" t="s">
        <v>345</v>
      </c>
      <c r="B21" s="186"/>
      <c r="C21" s="186"/>
      <c r="D21" s="186"/>
      <c r="E21" s="186"/>
      <c r="F21" s="186"/>
      <c r="G21" s="186"/>
      <c r="H21" s="186"/>
      <c r="I21" s="186"/>
      <c r="J21" s="186">
        <v>-5255</v>
      </c>
      <c r="K21" s="186">
        <v>697567</v>
      </c>
      <c r="L21" s="186">
        <v>40153</v>
      </c>
      <c r="M21" s="186">
        <v>177448</v>
      </c>
      <c r="N21" s="186">
        <v>-40864</v>
      </c>
      <c r="O21" s="186">
        <v>57775</v>
      </c>
      <c r="P21" s="186"/>
      <c r="Q21" s="186"/>
      <c r="R21" s="186"/>
      <c r="S21" s="186"/>
      <c r="T21" s="186">
        <v>591</v>
      </c>
      <c r="U21" s="186">
        <v>591</v>
      </c>
      <c r="V21" s="186"/>
      <c r="W21" s="186"/>
      <c r="X21" s="186">
        <v>354102</v>
      </c>
      <c r="Y21" s="186">
        <v>354102</v>
      </c>
      <c r="Z21" s="186">
        <v>2</v>
      </c>
      <c r="AA21" s="186">
        <v>47</v>
      </c>
      <c r="AB21" s="186">
        <f>957728+815629</f>
        <v>1773357</v>
      </c>
      <c r="AC21" s="186">
        <f>957728+815629</f>
        <v>1773357</v>
      </c>
      <c r="AD21" s="186">
        <v>5507279</v>
      </c>
      <c r="AE21" s="186">
        <v>5507279</v>
      </c>
      <c r="AF21" s="186">
        <v>26779</v>
      </c>
      <c r="AG21" s="186">
        <v>562250</v>
      </c>
      <c r="AH21" s="186"/>
      <c r="AI21" s="186"/>
      <c r="AJ21" s="186">
        <v>231338</v>
      </c>
      <c r="AK21" s="186">
        <v>231338</v>
      </c>
      <c r="AL21" s="186">
        <v>365348</v>
      </c>
      <c r="AM21" s="186">
        <v>365348</v>
      </c>
      <c r="AN21" s="186"/>
      <c r="AO21" s="186"/>
      <c r="AP21" s="186">
        <v>-298267.58</v>
      </c>
      <c r="AQ21" s="186">
        <v>1928950.92</v>
      </c>
      <c r="AR21" s="186">
        <v>6422852</v>
      </c>
      <c r="AS21" s="186">
        <v>6422852</v>
      </c>
      <c r="AT21" s="186">
        <v>-228095</v>
      </c>
      <c r="AU21" s="186">
        <v>6317377</v>
      </c>
      <c r="AV21" s="186">
        <v>-3</v>
      </c>
      <c r="AW21" s="186">
        <v>221</v>
      </c>
      <c r="AX21" s="186">
        <v>205550</v>
      </c>
      <c r="AY21" s="186">
        <v>205550</v>
      </c>
      <c r="AZ21" s="186"/>
      <c r="BA21" s="186"/>
      <c r="BB21" s="186"/>
      <c r="BC21" s="186"/>
      <c r="BD21" s="190">
        <v>91265</v>
      </c>
      <c r="BE21" s="190">
        <v>403621</v>
      </c>
      <c r="BF21" s="186">
        <v>167081</v>
      </c>
      <c r="BG21" s="186">
        <v>167081</v>
      </c>
      <c r="BH21" s="186">
        <v>18934</v>
      </c>
      <c r="BI21" s="186">
        <v>18934</v>
      </c>
      <c r="BJ21" s="186"/>
      <c r="BK21" s="186"/>
      <c r="BL21" s="186">
        <v>1637899</v>
      </c>
      <c r="BM21" s="186">
        <v>1637899</v>
      </c>
      <c r="BN21" s="175">
        <v>4288452</v>
      </c>
      <c r="BO21" s="175">
        <v>4288452</v>
      </c>
      <c r="BP21" s="186">
        <f>-1954+5</f>
        <v>-1949</v>
      </c>
      <c r="BQ21" s="186">
        <f>24432+27</f>
        <v>24459</v>
      </c>
      <c r="BR21" s="44">
        <f t="shared" si="2"/>
        <v>20556548.420000002</v>
      </c>
      <c r="BS21" s="44">
        <f t="shared" si="3"/>
        <v>31142498.920000002</v>
      </c>
    </row>
    <row r="22" spans="1:71" s="191" customFormat="1" ht="15" customHeight="1" x14ac:dyDescent="0.25">
      <c r="A22" s="109" t="s">
        <v>346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>
        <v>548394</v>
      </c>
      <c r="L22" s="186"/>
      <c r="M22" s="186">
        <v>153982</v>
      </c>
      <c r="N22" s="186"/>
      <c r="O22" s="186">
        <v>47518</v>
      </c>
      <c r="P22" s="186"/>
      <c r="Q22" s="186"/>
      <c r="R22" s="186"/>
      <c r="S22" s="186"/>
      <c r="T22" s="186">
        <v>193</v>
      </c>
      <c r="U22" s="186"/>
      <c r="V22" s="186"/>
      <c r="W22" s="186"/>
      <c r="X22" s="186">
        <v>344887</v>
      </c>
      <c r="Y22" s="186">
        <v>308566</v>
      </c>
      <c r="Z22" s="186"/>
      <c r="AA22" s="186">
        <v>5</v>
      </c>
      <c r="AB22" s="186">
        <f>-979590-973192</f>
        <v>-1952782</v>
      </c>
      <c r="AC22" s="186">
        <f>-941540-52309</f>
        <v>-993849</v>
      </c>
      <c r="AD22" s="186">
        <v>5442545</v>
      </c>
      <c r="AE22" s="186">
        <v>4502538</v>
      </c>
      <c r="AF22" s="186"/>
      <c r="AG22" s="186">
        <v>572893</v>
      </c>
      <c r="AH22" s="186"/>
      <c r="AI22" s="186"/>
      <c r="AJ22" s="186">
        <v>185256</v>
      </c>
      <c r="AK22" s="186">
        <v>139899</v>
      </c>
      <c r="AL22" s="186">
        <v>-361702</v>
      </c>
      <c r="AM22" s="186">
        <v>-266126</v>
      </c>
      <c r="AN22" s="186"/>
      <c r="AO22" s="186"/>
      <c r="AP22" s="186">
        <v>1.0000000474974513E-3</v>
      </c>
      <c r="AQ22" s="186">
        <v>1828376.3859999999</v>
      </c>
      <c r="AR22" s="186">
        <v>6152383</v>
      </c>
      <c r="AS22" s="186">
        <v>8524759</v>
      </c>
      <c r="AT22" s="186">
        <v>0</v>
      </c>
      <c r="AU22" s="186">
        <v>7014133</v>
      </c>
      <c r="AV22" s="186"/>
      <c r="AW22" s="186">
        <v>143</v>
      </c>
      <c r="AX22" s="191">
        <v>229725</v>
      </c>
      <c r="AY22" s="186">
        <v>201319</v>
      </c>
      <c r="AZ22" s="186"/>
      <c r="BA22" s="186"/>
      <c r="BB22" s="186"/>
      <c r="BC22" s="186"/>
      <c r="BD22" s="190"/>
      <c r="BE22" s="190">
        <v>-268154</v>
      </c>
      <c r="BF22" s="186">
        <v>142510</v>
      </c>
      <c r="BG22" s="186">
        <v>118061</v>
      </c>
      <c r="BH22" s="186">
        <v>21685</v>
      </c>
      <c r="BI22" s="186">
        <v>17304</v>
      </c>
      <c r="BJ22" s="186"/>
      <c r="BK22" s="186"/>
      <c r="BL22" s="186">
        <v>1633662</v>
      </c>
      <c r="BM22" s="186">
        <v>1367949</v>
      </c>
      <c r="BN22" s="175">
        <v>4210328</v>
      </c>
      <c r="BO22" s="175">
        <v>4136376</v>
      </c>
      <c r="BQ22" s="186">
        <f>23318+122</f>
        <v>23440</v>
      </c>
      <c r="BR22" s="44">
        <f t="shared" si="2"/>
        <v>16048690.001</v>
      </c>
      <c r="BS22" s="44">
        <f t="shared" si="3"/>
        <v>27977526.386</v>
      </c>
    </row>
    <row r="23" spans="1:71" s="191" customFormat="1" ht="15" customHeight="1" x14ac:dyDescent="0.25">
      <c r="A23" s="109" t="s">
        <v>347</v>
      </c>
      <c r="B23" s="186"/>
      <c r="C23" s="186"/>
      <c r="D23" s="186"/>
      <c r="E23" s="186"/>
      <c r="F23" s="186"/>
      <c r="G23" s="186"/>
      <c r="H23" s="186"/>
      <c r="I23" s="186"/>
      <c r="J23" s="199">
        <v>261706</v>
      </c>
      <c r="K23" s="186">
        <v>974951</v>
      </c>
      <c r="L23" s="186">
        <v>109896</v>
      </c>
      <c r="M23" s="186">
        <v>208166</v>
      </c>
      <c r="N23" s="186">
        <v>4490</v>
      </c>
      <c r="O23" s="186">
        <v>108667</v>
      </c>
      <c r="P23" s="186"/>
      <c r="Q23" s="186"/>
      <c r="R23" s="186"/>
      <c r="S23" s="186"/>
      <c r="T23" s="186">
        <v>1</v>
      </c>
      <c r="U23" s="186">
        <v>2</v>
      </c>
      <c r="V23" s="186"/>
      <c r="W23" s="186"/>
      <c r="X23" s="186">
        <v>110737</v>
      </c>
      <c r="Y23" s="186">
        <v>352959</v>
      </c>
      <c r="Z23" s="186">
        <v>2</v>
      </c>
      <c r="AA23" s="186">
        <v>42</v>
      </c>
      <c r="AB23" s="186">
        <f>1404+148717</f>
        <v>150121</v>
      </c>
      <c r="AC23" s="186">
        <f>1849+560411</f>
        <v>562260</v>
      </c>
      <c r="AD23" s="186">
        <v>428198</v>
      </c>
      <c r="AE23" s="186">
        <v>1988567</v>
      </c>
      <c r="AF23" s="186">
        <v>153027</v>
      </c>
      <c r="AG23" s="186">
        <v>413107</v>
      </c>
      <c r="AH23" s="186"/>
      <c r="AI23" s="186"/>
      <c r="AJ23" s="186">
        <v>54592</v>
      </c>
      <c r="AK23" s="186">
        <v>194193</v>
      </c>
      <c r="AL23" s="186">
        <v>12052</v>
      </c>
      <c r="AM23" s="186">
        <v>21970</v>
      </c>
      <c r="AN23" s="186"/>
      <c r="AO23" s="186"/>
      <c r="AP23" s="186">
        <v>240253.14700000006</v>
      </c>
      <c r="AQ23" s="186">
        <v>1294226.2719999999</v>
      </c>
      <c r="AR23" s="186">
        <v>1544259</v>
      </c>
      <c r="AS23" s="186">
        <v>3454363</v>
      </c>
      <c r="AT23" s="186">
        <v>264692</v>
      </c>
      <c r="AU23" s="186">
        <v>1388957</v>
      </c>
      <c r="AV23" s="186">
        <v>-3</v>
      </c>
      <c r="AW23" s="186">
        <v>79</v>
      </c>
      <c r="AX23" s="186">
        <v>18289</v>
      </c>
      <c r="AY23" s="186">
        <v>130162</v>
      </c>
      <c r="AZ23" s="186"/>
      <c r="BA23" s="186"/>
      <c r="BB23" s="186"/>
      <c r="BC23" s="186"/>
      <c r="BD23" s="190">
        <v>71740</v>
      </c>
      <c r="BE23" s="190">
        <v>158383</v>
      </c>
      <c r="BF23" s="186">
        <v>42803</v>
      </c>
      <c r="BG23" s="186">
        <v>137693</v>
      </c>
      <c r="BH23" s="186">
        <v>-1657</v>
      </c>
      <c r="BI23" s="186">
        <v>6852</v>
      </c>
      <c r="BJ23" s="186"/>
      <c r="BK23" s="186"/>
      <c r="BL23" s="186">
        <v>685654</v>
      </c>
      <c r="BM23" s="186">
        <v>2401781</v>
      </c>
      <c r="BN23" s="175">
        <v>794339</v>
      </c>
      <c r="BO23" s="175">
        <v>2183884</v>
      </c>
      <c r="BP23" s="186">
        <v>11939</v>
      </c>
      <c r="BQ23" s="186">
        <v>49958</v>
      </c>
      <c r="BR23" s="44">
        <f t="shared" si="2"/>
        <v>4957130.1469999999</v>
      </c>
      <c r="BS23" s="44">
        <f t="shared" si="3"/>
        <v>16031222.272</v>
      </c>
    </row>
    <row r="24" spans="1:71" x14ac:dyDescent="0.25">
      <c r="J24" s="125"/>
    </row>
    <row r="25" spans="1:71" x14ac:dyDescent="0.25">
      <c r="A25" s="7" t="s">
        <v>168</v>
      </c>
      <c r="J25" s="126"/>
      <c r="BD25" s="106"/>
      <c r="BE25" s="106"/>
    </row>
    <row r="26" spans="1:71" s="15" customFormat="1" x14ac:dyDescent="0.25">
      <c r="A26" s="23" t="s">
        <v>0</v>
      </c>
      <c r="B26" s="200" t="s">
        <v>1</v>
      </c>
      <c r="C26" s="200"/>
      <c r="D26" s="200" t="s">
        <v>2</v>
      </c>
      <c r="E26" s="200"/>
      <c r="F26" s="200" t="s">
        <v>3</v>
      </c>
      <c r="G26" s="200"/>
      <c r="H26" s="200" t="s">
        <v>4</v>
      </c>
      <c r="I26" s="204"/>
      <c r="J26" s="200" t="s">
        <v>5</v>
      </c>
      <c r="K26" s="200"/>
      <c r="L26" s="205" t="s">
        <v>6</v>
      </c>
      <c r="M26" s="200"/>
      <c r="N26" s="200" t="s">
        <v>7</v>
      </c>
      <c r="O26" s="200"/>
      <c r="P26" s="200" t="s">
        <v>8</v>
      </c>
      <c r="Q26" s="200"/>
      <c r="R26" s="200" t="s">
        <v>9</v>
      </c>
      <c r="S26" s="200"/>
      <c r="T26" s="200" t="s">
        <v>10</v>
      </c>
      <c r="U26" s="200"/>
      <c r="V26" s="200" t="s">
        <v>11</v>
      </c>
      <c r="W26" s="200"/>
      <c r="X26" s="200" t="s">
        <v>12</v>
      </c>
      <c r="Y26" s="200"/>
      <c r="Z26" s="200" t="s">
        <v>13</v>
      </c>
      <c r="AA26" s="200"/>
      <c r="AB26" s="200" t="s">
        <v>14</v>
      </c>
      <c r="AC26" s="200"/>
      <c r="AD26" s="200" t="s">
        <v>15</v>
      </c>
      <c r="AE26" s="200"/>
      <c r="AF26" s="200" t="s">
        <v>16</v>
      </c>
      <c r="AG26" s="200"/>
      <c r="AH26" s="200" t="s">
        <v>17</v>
      </c>
      <c r="AI26" s="200"/>
      <c r="AJ26" s="200" t="s">
        <v>18</v>
      </c>
      <c r="AK26" s="200"/>
      <c r="AL26" s="200" t="s">
        <v>19</v>
      </c>
      <c r="AM26" s="200"/>
      <c r="AN26" s="200" t="s">
        <v>20</v>
      </c>
      <c r="AO26" s="200"/>
      <c r="AP26" s="200" t="s">
        <v>21</v>
      </c>
      <c r="AQ26" s="200"/>
      <c r="AR26" s="200" t="s">
        <v>147</v>
      </c>
      <c r="AS26" s="200"/>
      <c r="AT26" s="200" t="s">
        <v>148</v>
      </c>
      <c r="AU26" s="200"/>
      <c r="AV26" s="200" t="s">
        <v>22</v>
      </c>
      <c r="AW26" s="200"/>
      <c r="AX26" s="200" t="s">
        <v>23</v>
      </c>
      <c r="AY26" s="200"/>
      <c r="AZ26" s="200" t="s">
        <v>332</v>
      </c>
      <c r="BA26" s="200"/>
      <c r="BB26" s="200" t="s">
        <v>24</v>
      </c>
      <c r="BC26" s="200"/>
      <c r="BD26" s="200" t="s">
        <v>25</v>
      </c>
      <c r="BE26" s="200"/>
      <c r="BF26" s="200" t="s">
        <v>26</v>
      </c>
      <c r="BG26" s="200"/>
      <c r="BH26" s="200" t="s">
        <v>27</v>
      </c>
      <c r="BI26" s="200"/>
      <c r="BJ26" s="200" t="s">
        <v>28</v>
      </c>
      <c r="BK26" s="200"/>
      <c r="BL26" s="200" t="s">
        <v>29</v>
      </c>
      <c r="BM26" s="200"/>
      <c r="BN26" s="201" t="s">
        <v>30</v>
      </c>
      <c r="BO26" s="201"/>
      <c r="BP26" s="200" t="s">
        <v>31</v>
      </c>
      <c r="BQ26" s="200"/>
      <c r="BR26" s="200" t="s">
        <v>250</v>
      </c>
      <c r="BS26" s="200"/>
    </row>
    <row r="27" spans="1:71" s="42" customFormat="1" ht="44.25" customHeight="1" x14ac:dyDescent="0.25">
      <c r="A27" s="43"/>
      <c r="B27" s="43" t="s">
        <v>321</v>
      </c>
      <c r="C27" s="43" t="s">
        <v>322</v>
      </c>
      <c r="D27" s="43" t="s">
        <v>321</v>
      </c>
      <c r="E27" s="43" t="s">
        <v>322</v>
      </c>
      <c r="F27" s="43" t="s">
        <v>321</v>
      </c>
      <c r="G27" s="43" t="s">
        <v>322</v>
      </c>
      <c r="H27" s="43" t="s">
        <v>321</v>
      </c>
      <c r="I27" s="43" t="s">
        <v>322</v>
      </c>
      <c r="J27" s="127" t="s">
        <v>321</v>
      </c>
      <c r="K27" s="127" t="s">
        <v>322</v>
      </c>
      <c r="L27" s="43" t="s">
        <v>321</v>
      </c>
      <c r="M27" s="43" t="s">
        <v>322</v>
      </c>
      <c r="N27" s="43" t="s">
        <v>321</v>
      </c>
      <c r="O27" s="43" t="s">
        <v>322</v>
      </c>
      <c r="P27" s="43" t="s">
        <v>321</v>
      </c>
      <c r="Q27" s="43" t="s">
        <v>322</v>
      </c>
      <c r="R27" s="43" t="s">
        <v>321</v>
      </c>
      <c r="S27" s="43" t="s">
        <v>322</v>
      </c>
      <c r="T27" s="43" t="s">
        <v>321</v>
      </c>
      <c r="U27" s="43" t="s">
        <v>322</v>
      </c>
      <c r="V27" s="43" t="s">
        <v>321</v>
      </c>
      <c r="W27" s="43" t="s">
        <v>322</v>
      </c>
      <c r="X27" s="43" t="s">
        <v>321</v>
      </c>
      <c r="Y27" s="43" t="s">
        <v>322</v>
      </c>
      <c r="Z27" s="43" t="s">
        <v>321</v>
      </c>
      <c r="AA27" s="43" t="s">
        <v>322</v>
      </c>
      <c r="AB27" s="43" t="s">
        <v>321</v>
      </c>
      <c r="AC27" s="43" t="s">
        <v>322</v>
      </c>
      <c r="AD27" s="43" t="s">
        <v>321</v>
      </c>
      <c r="AE27" s="43" t="s">
        <v>322</v>
      </c>
      <c r="AF27" s="43" t="s">
        <v>321</v>
      </c>
      <c r="AG27" s="43" t="s">
        <v>322</v>
      </c>
      <c r="AH27" s="43" t="s">
        <v>321</v>
      </c>
      <c r="AI27" s="43" t="s">
        <v>322</v>
      </c>
      <c r="AJ27" s="43" t="s">
        <v>321</v>
      </c>
      <c r="AK27" s="43" t="s">
        <v>322</v>
      </c>
      <c r="AL27" s="43" t="s">
        <v>321</v>
      </c>
      <c r="AM27" s="43" t="s">
        <v>322</v>
      </c>
      <c r="AN27" s="43" t="s">
        <v>321</v>
      </c>
      <c r="AO27" s="43" t="s">
        <v>322</v>
      </c>
      <c r="AP27" s="43" t="s">
        <v>321</v>
      </c>
      <c r="AQ27" s="43" t="s">
        <v>322</v>
      </c>
      <c r="AR27" s="43" t="s">
        <v>321</v>
      </c>
      <c r="AS27" s="43" t="s">
        <v>322</v>
      </c>
      <c r="AT27" s="43" t="s">
        <v>321</v>
      </c>
      <c r="AU27" s="43" t="s">
        <v>322</v>
      </c>
      <c r="AV27" s="43" t="s">
        <v>321</v>
      </c>
      <c r="AW27" s="43" t="s">
        <v>322</v>
      </c>
      <c r="AX27" s="43" t="s">
        <v>321</v>
      </c>
      <c r="AY27" s="43" t="s">
        <v>322</v>
      </c>
      <c r="AZ27" s="43" t="s">
        <v>321</v>
      </c>
      <c r="BA27" s="43" t="s">
        <v>322</v>
      </c>
      <c r="BB27" s="43" t="s">
        <v>321</v>
      </c>
      <c r="BC27" s="43" t="s">
        <v>322</v>
      </c>
      <c r="BD27" s="43" t="s">
        <v>321</v>
      </c>
      <c r="BE27" s="43" t="s">
        <v>322</v>
      </c>
      <c r="BF27" s="43" t="s">
        <v>321</v>
      </c>
      <c r="BG27" s="43" t="s">
        <v>322</v>
      </c>
      <c r="BH27" s="43" t="s">
        <v>321</v>
      </c>
      <c r="BI27" s="43" t="s">
        <v>322</v>
      </c>
      <c r="BJ27" s="43" t="s">
        <v>321</v>
      </c>
      <c r="BK27" s="43" t="s">
        <v>322</v>
      </c>
      <c r="BL27" s="43" t="s">
        <v>321</v>
      </c>
      <c r="BM27" s="43" t="s">
        <v>322</v>
      </c>
      <c r="BN27" s="183" t="s">
        <v>321</v>
      </c>
      <c r="BO27" s="183" t="s">
        <v>322</v>
      </c>
      <c r="BP27" s="43" t="s">
        <v>321</v>
      </c>
      <c r="BQ27" s="43" t="s">
        <v>322</v>
      </c>
      <c r="BR27" s="43" t="s">
        <v>321</v>
      </c>
      <c r="BS27" s="43" t="s">
        <v>322</v>
      </c>
    </row>
    <row r="28" spans="1:71" x14ac:dyDescent="0.25">
      <c r="A28" s="107" t="s">
        <v>68</v>
      </c>
      <c r="B28" s="44">
        <v>65725</v>
      </c>
      <c r="C28" s="44">
        <v>86402</v>
      </c>
      <c r="D28" s="44"/>
      <c r="E28" s="44"/>
      <c r="F28" s="44"/>
      <c r="G28" s="44"/>
      <c r="H28" s="44"/>
      <c r="I28" s="44"/>
      <c r="J28" s="44">
        <v>6349852</v>
      </c>
      <c r="K28" s="44">
        <v>18869855</v>
      </c>
      <c r="L28" s="44">
        <v>1802662</v>
      </c>
      <c r="M28" s="44">
        <v>6509787</v>
      </c>
      <c r="N28" s="44">
        <v>4106814</v>
      </c>
      <c r="O28" s="44">
        <v>12599424</v>
      </c>
      <c r="P28" s="44"/>
      <c r="Q28" s="44"/>
      <c r="R28" s="44">
        <v>1301</v>
      </c>
      <c r="S28" s="44">
        <v>1476</v>
      </c>
      <c r="T28" s="44">
        <v>132</v>
      </c>
      <c r="U28" s="44">
        <v>140</v>
      </c>
      <c r="V28" s="44"/>
      <c r="W28" s="44"/>
      <c r="X28" s="44">
        <f>569348+775281</f>
        <v>1344629</v>
      </c>
      <c r="Y28" s="44">
        <f>2066746+3165377</f>
        <v>5232123</v>
      </c>
      <c r="Z28" s="44">
        <v>366269</v>
      </c>
      <c r="AA28" s="44">
        <v>572891</v>
      </c>
      <c r="AB28" s="44">
        <f>1261512+3269223</f>
        <v>4530735</v>
      </c>
      <c r="AC28" s="44">
        <f>3918508+11585448</f>
        <v>15503956</v>
      </c>
      <c r="AD28" s="44">
        <v>7366724</v>
      </c>
      <c r="AE28" s="44">
        <v>27168744</v>
      </c>
      <c r="AF28" s="44">
        <v>6989593</v>
      </c>
      <c r="AG28" s="44">
        <v>20416888</v>
      </c>
      <c r="AH28" s="44">
        <v>165016</v>
      </c>
      <c r="AI28" s="44">
        <v>501537</v>
      </c>
      <c r="AJ28" s="44">
        <f>625440+110861</f>
        <v>736301</v>
      </c>
      <c r="AK28" s="44">
        <f>2165202+308150</f>
        <v>2473352</v>
      </c>
      <c r="AL28" s="44">
        <v>656248</v>
      </c>
      <c r="AM28" s="44">
        <v>1753317</v>
      </c>
      <c r="AN28" s="44"/>
      <c r="AO28" s="44"/>
      <c r="AP28" s="44">
        <v>16249230.121999998</v>
      </c>
      <c r="AQ28" s="44">
        <v>47568425.796999998</v>
      </c>
      <c r="AR28" s="44">
        <v>21292021</v>
      </c>
      <c r="AS28" s="44">
        <v>66850073</v>
      </c>
      <c r="AT28" s="44">
        <v>11712950</v>
      </c>
      <c r="AU28" s="44">
        <v>33906070</v>
      </c>
      <c r="AV28" s="44">
        <v>14218</v>
      </c>
      <c r="AW28" s="44">
        <v>61987</v>
      </c>
      <c r="AX28" s="44">
        <v>4977942</v>
      </c>
      <c r="AY28" s="44">
        <v>16229758</v>
      </c>
      <c r="AZ28" s="44"/>
      <c r="BA28" s="44"/>
      <c r="BB28" s="44"/>
      <c r="BC28" s="44"/>
      <c r="BD28" s="44">
        <v>3825448</v>
      </c>
      <c r="BE28" s="44">
        <v>12135684</v>
      </c>
      <c r="BF28" s="44">
        <v>1814928</v>
      </c>
      <c r="BG28" s="44">
        <v>6251618</v>
      </c>
      <c r="BH28" s="44">
        <v>4050625</v>
      </c>
      <c r="BI28" s="44">
        <v>12079904</v>
      </c>
      <c r="BJ28" s="44"/>
      <c r="BK28" s="44"/>
      <c r="BL28" s="44">
        <v>4508802</v>
      </c>
      <c r="BM28" s="44">
        <v>14012712</v>
      </c>
      <c r="BN28" s="124">
        <v>13796197</v>
      </c>
      <c r="BO28" s="124">
        <v>42914347</v>
      </c>
      <c r="BP28" s="44">
        <v>1017330</v>
      </c>
      <c r="BQ28" s="44">
        <v>3546274</v>
      </c>
      <c r="BR28" s="44">
        <f t="shared" ref="BR28:BR34" si="4">B28+D28+F28+H28+J28+L28+N28+P28+R28+T28+V28+X28+Z28+AB28+AD28+AF28+AH28+AJ28+AL28+AN28+AP28+AR28+AT28+AV28+AX28+BB28+BD28+BF28+BH28+BJ28+BL28+BN28+BP28</f>
        <v>117741692.12199999</v>
      </c>
      <c r="BS28" s="44">
        <f t="shared" ref="BS28:BS34" si="5">C28+E28+G28+I28+K28+M28+O28+Q28+S28+U28+W28+Y28+AA28+AC28+AE28+AG28+AI28+AK28+AM28+AO28+AQ28+AS28+AU28+AW28+AY28+BC28+BE28+BG28+BI28+BK28+BM28+BO28+BQ28</f>
        <v>367246744.79699999</v>
      </c>
    </row>
    <row r="29" spans="1:71" x14ac:dyDescent="0.25">
      <c r="A29" s="107" t="s">
        <v>342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>
        <v>2000097</v>
      </c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>
        <v>0</v>
      </c>
      <c r="AQ29" s="44">
        <v>1764.1620000000003</v>
      </c>
      <c r="AR29" s="44"/>
      <c r="AS29" s="44"/>
      <c r="AT29" s="44">
        <v>40794</v>
      </c>
      <c r="AU29" s="44">
        <v>61005</v>
      </c>
      <c r="AV29" s="44"/>
      <c r="AW29" s="44"/>
      <c r="AX29" s="44"/>
      <c r="AY29" s="44"/>
      <c r="AZ29" s="44"/>
      <c r="BA29" s="44"/>
      <c r="BB29" s="44"/>
      <c r="BC29" s="44"/>
      <c r="BD29" s="51"/>
      <c r="BE29" s="51"/>
      <c r="BF29" s="44"/>
      <c r="BG29" s="44"/>
      <c r="BH29" s="44"/>
      <c r="BI29" s="44"/>
      <c r="BJ29" s="44"/>
      <c r="BK29" s="44"/>
      <c r="BL29" s="44"/>
      <c r="BM29" s="44"/>
      <c r="BN29" s="124">
        <v>0</v>
      </c>
      <c r="BO29" s="124">
        <v>0</v>
      </c>
      <c r="BP29" s="44">
        <f>61735+23191</f>
        <v>84926</v>
      </c>
      <c r="BQ29" s="44"/>
      <c r="BR29" s="44">
        <f t="shared" si="4"/>
        <v>2125817</v>
      </c>
      <c r="BS29" s="44">
        <f t="shared" si="5"/>
        <v>62769.161999999997</v>
      </c>
    </row>
    <row r="30" spans="1:71" ht="15" customHeight="1" x14ac:dyDescent="0.25">
      <c r="A30" s="107" t="s">
        <v>343</v>
      </c>
      <c r="B30" s="44">
        <v>35642</v>
      </c>
      <c r="C30" s="44">
        <v>46788</v>
      </c>
      <c r="D30" s="44"/>
      <c r="E30" s="44"/>
      <c r="F30" s="44"/>
      <c r="G30" s="44"/>
      <c r="H30" s="44"/>
      <c r="I30" s="44"/>
      <c r="J30" s="44">
        <v>569452</v>
      </c>
      <c r="K30" s="44">
        <v>2384136</v>
      </c>
      <c r="L30" s="44">
        <v>114123</v>
      </c>
      <c r="M30" s="44">
        <v>440948</v>
      </c>
      <c r="N30" s="44">
        <v>508381</v>
      </c>
      <c r="O30" s="44">
        <v>1405711</v>
      </c>
      <c r="P30" s="44"/>
      <c r="Q30" s="44"/>
      <c r="R30" s="44"/>
      <c r="S30" s="44"/>
      <c r="T30" s="44">
        <v>3134</v>
      </c>
      <c r="U30" s="44">
        <v>3803</v>
      </c>
      <c r="V30" s="44"/>
      <c r="W30" s="44"/>
      <c r="X30" s="44">
        <f>39933+36002</f>
        <v>75935</v>
      </c>
      <c r="Y30" s="44">
        <f>240540+111464</f>
        <v>352004</v>
      </c>
      <c r="Z30" s="44">
        <v>38102</v>
      </c>
      <c r="AA30" s="44">
        <v>58225</v>
      </c>
      <c r="AB30" s="44"/>
      <c r="AC30" s="44"/>
      <c r="AD30" s="44"/>
      <c r="AE30" s="44"/>
      <c r="AF30" s="44">
        <v>1905576</v>
      </c>
      <c r="AG30" s="44">
        <v>4327120</v>
      </c>
      <c r="AH30" s="44">
        <v>8424</v>
      </c>
      <c r="AI30" s="44">
        <v>25881</v>
      </c>
      <c r="AJ30" s="44">
        <f>30641+5917</f>
        <v>36558</v>
      </c>
      <c r="AK30" s="44">
        <f>105307+14834</f>
        <v>120141</v>
      </c>
      <c r="AL30" s="44"/>
      <c r="AM30" s="44"/>
      <c r="AN30" s="44"/>
      <c r="AO30" s="44"/>
      <c r="AP30" s="44">
        <v>2670540.2300000004</v>
      </c>
      <c r="AQ30" s="44">
        <v>8581136.2259999998</v>
      </c>
      <c r="AR30" s="44"/>
      <c r="AS30" s="44"/>
      <c r="AT30" s="44">
        <v>763456</v>
      </c>
      <c r="AU30" s="44">
        <v>-6916066</v>
      </c>
      <c r="AV30" s="44">
        <f>686+25</f>
        <v>711</v>
      </c>
      <c r="AW30" s="44">
        <f>3030+71</f>
        <v>3101</v>
      </c>
      <c r="AX30" s="44">
        <v>1365171</v>
      </c>
      <c r="AY30" s="44">
        <v>4241628</v>
      </c>
      <c r="AZ30" s="44"/>
      <c r="BA30" s="44"/>
      <c r="BB30" s="44"/>
      <c r="BC30" s="44"/>
      <c r="BD30" s="51">
        <v>-689872</v>
      </c>
      <c r="BE30" s="51">
        <v>-2305542</v>
      </c>
      <c r="BF30" s="44">
        <v>93444</v>
      </c>
      <c r="BG30" s="44">
        <v>360619</v>
      </c>
      <c r="BH30" s="44">
        <v>259661</v>
      </c>
      <c r="BI30" s="44">
        <v>711590</v>
      </c>
      <c r="BJ30" s="44"/>
      <c r="BK30" s="44"/>
      <c r="BL30" s="44">
        <v>997399</v>
      </c>
      <c r="BM30" s="44">
        <v>2202203</v>
      </c>
      <c r="BN30" s="124">
        <v>791074</v>
      </c>
      <c r="BO30" s="124">
        <v>10550897</v>
      </c>
      <c r="BP30" s="10">
        <f>159471+62325</f>
        <v>221796</v>
      </c>
      <c r="BQ30" s="44"/>
      <c r="BR30" s="44">
        <f t="shared" si="4"/>
        <v>9768707.2300000004</v>
      </c>
      <c r="BS30" s="44">
        <f t="shared" si="5"/>
        <v>26594323.226</v>
      </c>
    </row>
    <row r="31" spans="1:71" ht="15" customHeight="1" x14ac:dyDescent="0.25">
      <c r="A31" s="107" t="s">
        <v>344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51"/>
      <c r="BE31" s="51"/>
      <c r="BF31" s="44"/>
      <c r="BG31" s="44"/>
      <c r="BH31" s="44"/>
      <c r="BI31" s="44"/>
      <c r="BJ31" s="44"/>
      <c r="BK31" s="44"/>
      <c r="BL31" s="44"/>
      <c r="BM31" s="44"/>
      <c r="BN31" s="124"/>
      <c r="BO31" s="124"/>
      <c r="BP31" s="44"/>
      <c r="BQ31" s="44"/>
      <c r="BR31" s="44">
        <f t="shared" si="4"/>
        <v>0</v>
      </c>
      <c r="BS31" s="44">
        <f t="shared" si="5"/>
        <v>0</v>
      </c>
    </row>
    <row r="32" spans="1:71" ht="15" customHeight="1" x14ac:dyDescent="0.25">
      <c r="A32" s="107" t="s">
        <v>345</v>
      </c>
      <c r="B32" s="44">
        <v>147214</v>
      </c>
      <c r="C32" s="44">
        <v>147214</v>
      </c>
      <c r="D32" s="44"/>
      <c r="E32" s="44"/>
      <c r="F32" s="44"/>
      <c r="G32" s="44"/>
      <c r="H32" s="44"/>
      <c r="I32" s="44"/>
      <c r="J32" s="44">
        <v>1546246</v>
      </c>
      <c r="K32" s="44">
        <v>57086160</v>
      </c>
      <c r="L32" s="44">
        <v>280160</v>
      </c>
      <c r="M32" s="44">
        <v>18160687</v>
      </c>
      <c r="N32" s="44">
        <v>1702085</v>
      </c>
      <c r="O32" s="44">
        <v>40515485</v>
      </c>
      <c r="P32" s="44"/>
      <c r="Q32" s="44"/>
      <c r="R32" s="44"/>
      <c r="S32" s="44"/>
      <c r="T32" s="44">
        <v>76215</v>
      </c>
      <c r="U32" s="44">
        <v>76215</v>
      </c>
      <c r="V32" s="44"/>
      <c r="W32" s="44"/>
      <c r="X32" s="44">
        <f>805626+15394048</f>
        <v>16199674</v>
      </c>
      <c r="Y32" s="44">
        <f>805626+15394048</f>
        <v>16199674</v>
      </c>
      <c r="Z32" s="44">
        <v>958810</v>
      </c>
      <c r="AA32" s="44">
        <v>2221534</v>
      </c>
      <c r="AB32" s="44">
        <f>2000097+29869297</f>
        <v>31869394</v>
      </c>
      <c r="AC32" s="44">
        <f>2000097+29869297</f>
        <v>31869394</v>
      </c>
      <c r="AD32" s="44">
        <v>88872535</v>
      </c>
      <c r="AE32" s="44">
        <v>88872535</v>
      </c>
      <c r="AF32" s="44">
        <v>950318</v>
      </c>
      <c r="AG32" s="44">
        <v>35543029</v>
      </c>
      <c r="AH32" s="44">
        <v>1296747</v>
      </c>
      <c r="AI32" s="44">
        <v>1296747</v>
      </c>
      <c r="AJ32" s="44">
        <f>488164+5533892</f>
        <v>6022056</v>
      </c>
      <c r="AK32" s="44">
        <f>488164+5533892</f>
        <v>6022056</v>
      </c>
      <c r="AL32" s="44">
        <v>9743530</v>
      </c>
      <c r="AM32" s="44">
        <v>7012800</v>
      </c>
      <c r="AN32" s="44"/>
      <c r="AO32" s="44"/>
      <c r="AP32" s="44">
        <v>8936095.7189999893</v>
      </c>
      <c r="AQ32" s="44">
        <v>120611039.62199998</v>
      </c>
      <c r="AR32" s="44">
        <v>173022831</v>
      </c>
      <c r="AS32" s="44">
        <v>173022831</v>
      </c>
      <c r="AT32" s="44">
        <v>-160749</v>
      </c>
      <c r="AU32" s="44">
        <v>101126016</v>
      </c>
      <c r="AV32" s="44">
        <f>-48+95437</f>
        <v>95389</v>
      </c>
      <c r="AW32" s="44">
        <f>1086772+2796</f>
        <v>1089568</v>
      </c>
      <c r="AX32" s="44">
        <v>40953020</v>
      </c>
      <c r="AY32" s="44">
        <v>40953020</v>
      </c>
      <c r="AZ32" s="44"/>
      <c r="BA32" s="44"/>
      <c r="BB32" s="44"/>
      <c r="BC32" s="44"/>
      <c r="BD32" s="51">
        <v>763542</v>
      </c>
      <c r="BE32" s="51">
        <v>27957350</v>
      </c>
      <c r="BF32" s="44">
        <v>14680991</v>
      </c>
      <c r="BG32" s="44">
        <v>14680991</v>
      </c>
      <c r="BH32" s="44">
        <v>57492388</v>
      </c>
      <c r="BI32" s="44">
        <v>57492388</v>
      </c>
      <c r="BJ32" s="44"/>
      <c r="BK32" s="44"/>
      <c r="BL32" s="44">
        <v>28207778</v>
      </c>
      <c r="BM32" s="44">
        <v>28207778</v>
      </c>
      <c r="BN32" s="124">
        <v>141142353</v>
      </c>
      <c r="BO32" s="124">
        <v>141142353</v>
      </c>
      <c r="BP32" s="44">
        <f>-73052+356129</f>
        <v>283077</v>
      </c>
      <c r="BQ32" s="44"/>
      <c r="BR32" s="44">
        <f t="shared" si="4"/>
        <v>625081699.71899998</v>
      </c>
      <c r="BS32" s="44">
        <f t="shared" si="5"/>
        <v>1011306864.622</v>
      </c>
    </row>
    <row r="33" spans="1:71" ht="15" customHeight="1" x14ac:dyDescent="0.25">
      <c r="A33" s="107" t="s">
        <v>346</v>
      </c>
      <c r="B33" s="44">
        <v>51570</v>
      </c>
      <c r="C33" s="44">
        <v>487</v>
      </c>
      <c r="D33" s="44"/>
      <c r="E33" s="44"/>
      <c r="F33" s="44"/>
      <c r="G33" s="44"/>
      <c r="H33" s="44"/>
      <c r="I33" s="44"/>
      <c r="J33" s="44"/>
      <c r="K33" s="44">
        <v>47278931</v>
      </c>
      <c r="L33" s="44"/>
      <c r="M33" s="44">
        <v>16568114</v>
      </c>
      <c r="N33" s="44">
        <v>1</v>
      </c>
      <c r="O33" s="44">
        <v>31389476</v>
      </c>
      <c r="P33" s="44"/>
      <c r="Q33" s="44"/>
      <c r="R33" s="44"/>
      <c r="S33" s="44"/>
      <c r="T33" s="44">
        <v>13516</v>
      </c>
      <c r="U33" s="44"/>
      <c r="V33" s="44"/>
      <c r="W33" s="44"/>
      <c r="X33" s="44">
        <f>701251+14558194</f>
        <v>15259445</v>
      </c>
      <c r="Y33" s="44">
        <f>757822+13293753</f>
        <v>14051575</v>
      </c>
      <c r="Z33" s="44">
        <v>0</v>
      </c>
      <c r="AA33" s="44">
        <v>56303</v>
      </c>
      <c r="AB33" s="44">
        <f>-2359798-28309600</f>
        <v>-30669398</v>
      </c>
      <c r="AC33" s="44">
        <f>-1634478-24782176</f>
        <v>-26416654</v>
      </c>
      <c r="AD33" s="44">
        <v>84779032</v>
      </c>
      <c r="AE33" s="44">
        <v>74938607</v>
      </c>
      <c r="AF33" s="44"/>
      <c r="AG33" s="44">
        <v>28849242</v>
      </c>
      <c r="AH33" s="44">
        <v>1145652</v>
      </c>
      <c r="AI33" s="44">
        <v>640589</v>
      </c>
      <c r="AJ33" s="44">
        <f>454079+4924700</f>
        <v>5378779</v>
      </c>
      <c r="AK33" s="44">
        <f>358690+3704537</f>
        <v>4063227</v>
      </c>
      <c r="AL33" s="44">
        <v>-9063199</v>
      </c>
      <c r="AM33" s="44">
        <v>-6785745</v>
      </c>
      <c r="AN33" s="44"/>
      <c r="AO33" s="44"/>
      <c r="AP33" s="44">
        <v>22514785.612999991</v>
      </c>
      <c r="AQ33" s="44">
        <v>63163022.661999971</v>
      </c>
      <c r="AR33" s="44">
        <v>172357606</v>
      </c>
      <c r="AS33" s="44">
        <v>147590578</v>
      </c>
      <c r="AT33" s="44">
        <v>1</v>
      </c>
      <c r="AU33" s="44">
        <v>93092764</v>
      </c>
      <c r="AV33" s="44"/>
      <c r="AW33" s="44">
        <f>542900+849</f>
        <v>543749</v>
      </c>
      <c r="AX33" s="44">
        <v>39665675</v>
      </c>
      <c r="AY33" s="44">
        <v>34945201</v>
      </c>
      <c r="AZ33" s="44"/>
      <c r="BA33" s="44"/>
      <c r="BB33" s="44"/>
      <c r="BC33" s="44"/>
      <c r="BD33" s="51"/>
      <c r="BE33" s="51">
        <v>-22064224</v>
      </c>
      <c r="BF33" s="44">
        <v>14664258</v>
      </c>
      <c r="BG33" s="44">
        <v>12480787</v>
      </c>
      <c r="BH33" s="44">
        <v>60414781</v>
      </c>
      <c r="BI33" s="44">
        <v>55029556</v>
      </c>
      <c r="BJ33" s="44"/>
      <c r="BK33" s="44"/>
      <c r="BL33" s="44">
        <v>26734617</v>
      </c>
      <c r="BM33" s="44">
        <v>20447370</v>
      </c>
      <c r="BN33" s="124">
        <v>133800957</v>
      </c>
      <c r="BO33" s="124">
        <v>100211791</v>
      </c>
      <c r="BP33" s="44">
        <f>407518+6764302</f>
        <v>7171820</v>
      </c>
      <c r="BQ33" s="44">
        <f>450039+4907704</f>
        <v>5357743</v>
      </c>
      <c r="BR33" s="44">
        <f t="shared" si="4"/>
        <v>544219898.61299992</v>
      </c>
      <c r="BS33" s="44">
        <f t="shared" si="5"/>
        <v>695432489.66199994</v>
      </c>
    </row>
    <row r="34" spans="1:71" ht="15" customHeight="1" x14ac:dyDescent="0.25">
      <c r="A34" s="107" t="s">
        <v>347</v>
      </c>
      <c r="B34" s="44">
        <v>125728</v>
      </c>
      <c r="C34" s="44">
        <v>186341</v>
      </c>
      <c r="D34" s="44"/>
      <c r="E34" s="44"/>
      <c r="F34" s="44"/>
      <c r="G34" s="44"/>
      <c r="H34" s="44"/>
      <c r="I34" s="44"/>
      <c r="J34" s="44">
        <v>6590728</v>
      </c>
      <c r="K34" s="44">
        <v>26292948</v>
      </c>
      <c r="L34" s="44">
        <v>1968699</v>
      </c>
      <c r="M34" s="44">
        <v>7661413</v>
      </c>
      <c r="N34" s="44">
        <v>5300517</v>
      </c>
      <c r="O34" s="44">
        <v>20319722</v>
      </c>
      <c r="P34" s="44"/>
      <c r="Q34" s="44"/>
      <c r="R34" s="44">
        <v>21046</v>
      </c>
      <c r="S34" s="44">
        <v>25877</v>
      </c>
      <c r="T34" s="44">
        <v>59697</v>
      </c>
      <c r="U34" s="44">
        <v>72552</v>
      </c>
      <c r="V34" s="44"/>
      <c r="W34" s="44"/>
      <c r="X34" s="44">
        <f>1369200+839723</f>
        <v>2208923</v>
      </c>
      <c r="Y34" s="44">
        <f>4055577+2972641</f>
        <v>7028218</v>
      </c>
      <c r="Z34" s="44">
        <v>1286976</v>
      </c>
      <c r="AA34" s="44">
        <v>2679897</v>
      </c>
      <c r="AB34" s="44">
        <f>2367743+2182432</f>
        <v>4550175</v>
      </c>
      <c r="AC34" s="44">
        <f>7396143+9134315</f>
        <v>16530458</v>
      </c>
      <c r="AD34" s="44">
        <v>10346372</v>
      </c>
      <c r="AE34" s="44">
        <v>37154789</v>
      </c>
      <c r="AF34" s="44">
        <v>6034335</v>
      </c>
      <c r="AG34" s="44">
        <v>22783555</v>
      </c>
      <c r="AH34" s="44">
        <v>307687</v>
      </c>
      <c r="AI34" s="44">
        <v>1131814</v>
      </c>
      <c r="AJ34" s="44">
        <f>621464+763024</f>
        <v>1384488</v>
      </c>
      <c r="AK34" s="44">
        <f>2160818+2018283</f>
        <v>4179101</v>
      </c>
      <c r="AL34" s="44">
        <v>1133158</v>
      </c>
      <c r="AM34" s="44">
        <v>2075492</v>
      </c>
      <c r="AN34" s="44"/>
      <c r="AO34" s="44"/>
      <c r="AP34" s="44">
        <v>22514785.612999991</v>
      </c>
      <c r="AQ34" s="44">
        <v>63163022.661999971</v>
      </c>
      <c r="AR34" s="44">
        <v>20475172</v>
      </c>
      <c r="AS34" s="44">
        <v>86092147</v>
      </c>
      <c r="AT34" s="44">
        <v>10829538</v>
      </c>
      <c r="AU34" s="44">
        <v>48916394</v>
      </c>
      <c r="AV34" s="44">
        <v>108896</v>
      </c>
      <c r="AW34" s="44">
        <v>604705</v>
      </c>
      <c r="AX34" s="44">
        <v>4900116</v>
      </c>
      <c r="AY34" s="44">
        <v>17995949</v>
      </c>
      <c r="AZ34" s="44"/>
      <c r="BA34" s="44"/>
      <c r="BB34" s="44"/>
      <c r="BC34" s="44"/>
      <c r="BD34" s="44">
        <v>3996990</v>
      </c>
      <c r="BE34" s="44">
        <v>15402529</v>
      </c>
      <c r="BF34" s="44">
        <v>1738217</v>
      </c>
      <c r="BG34" s="44">
        <v>8091203</v>
      </c>
      <c r="BH34" s="44">
        <v>868572</v>
      </c>
      <c r="BI34" s="44">
        <v>13831146</v>
      </c>
      <c r="BJ34" s="44"/>
      <c r="BK34" s="44"/>
      <c r="BL34" s="44">
        <v>4984564</v>
      </c>
      <c r="BM34" s="44">
        <v>19570917</v>
      </c>
      <c r="BN34" s="124">
        <v>20346519</v>
      </c>
      <c r="BO34" s="124">
        <v>73294012</v>
      </c>
      <c r="BP34" s="44">
        <v>1215481</v>
      </c>
      <c r="BQ34" s="44">
        <v>5138555</v>
      </c>
      <c r="BR34" s="44">
        <f t="shared" si="4"/>
        <v>133297379.61299999</v>
      </c>
      <c r="BS34" s="44">
        <f t="shared" si="5"/>
        <v>500222756.66199994</v>
      </c>
    </row>
    <row r="36" spans="1:71" x14ac:dyDescent="0.25">
      <c r="A36" s="7" t="s">
        <v>143</v>
      </c>
    </row>
    <row r="37" spans="1:71" s="15" customFormat="1" x14ac:dyDescent="0.25">
      <c r="A37" s="23" t="s">
        <v>0</v>
      </c>
      <c r="B37" s="200" t="s">
        <v>1</v>
      </c>
      <c r="C37" s="200"/>
      <c r="D37" s="200" t="s">
        <v>2</v>
      </c>
      <c r="E37" s="200"/>
      <c r="F37" s="200" t="s">
        <v>3</v>
      </c>
      <c r="G37" s="200"/>
      <c r="H37" s="200" t="s">
        <v>4</v>
      </c>
      <c r="I37" s="200"/>
      <c r="J37" s="202"/>
      <c r="K37" s="203"/>
      <c r="L37" s="200" t="s">
        <v>6</v>
      </c>
      <c r="M37" s="200"/>
      <c r="N37" s="200" t="s">
        <v>7</v>
      </c>
      <c r="O37" s="200"/>
      <c r="P37" s="200" t="s">
        <v>8</v>
      </c>
      <c r="Q37" s="200"/>
      <c r="R37" s="200" t="s">
        <v>9</v>
      </c>
      <c r="S37" s="200"/>
      <c r="T37" s="200" t="s">
        <v>10</v>
      </c>
      <c r="U37" s="200"/>
      <c r="V37" s="200" t="s">
        <v>11</v>
      </c>
      <c r="W37" s="200"/>
      <c r="X37" s="200" t="s">
        <v>12</v>
      </c>
      <c r="Y37" s="200"/>
      <c r="Z37" s="200" t="s">
        <v>13</v>
      </c>
      <c r="AA37" s="200"/>
      <c r="AB37" s="200" t="s">
        <v>14</v>
      </c>
      <c r="AC37" s="200"/>
      <c r="AD37" s="200" t="s">
        <v>15</v>
      </c>
      <c r="AE37" s="200"/>
      <c r="AF37" s="200" t="s">
        <v>16</v>
      </c>
      <c r="AG37" s="200"/>
      <c r="AH37" s="200" t="s">
        <v>17</v>
      </c>
      <c r="AI37" s="200"/>
      <c r="AJ37" s="200" t="s">
        <v>18</v>
      </c>
      <c r="AK37" s="200"/>
      <c r="AL37" s="200" t="s">
        <v>19</v>
      </c>
      <c r="AM37" s="200"/>
      <c r="AN37" s="200" t="s">
        <v>20</v>
      </c>
      <c r="AO37" s="200"/>
      <c r="AP37" s="200" t="s">
        <v>21</v>
      </c>
      <c r="AQ37" s="200"/>
      <c r="AR37" s="200" t="s">
        <v>147</v>
      </c>
      <c r="AS37" s="200"/>
      <c r="AT37" s="200" t="s">
        <v>148</v>
      </c>
      <c r="AU37" s="200"/>
      <c r="AV37" s="200" t="s">
        <v>22</v>
      </c>
      <c r="AW37" s="200"/>
      <c r="AX37" s="200" t="s">
        <v>23</v>
      </c>
      <c r="AY37" s="200"/>
      <c r="AZ37" s="200" t="s">
        <v>332</v>
      </c>
      <c r="BA37" s="200"/>
      <c r="BB37" s="200" t="s">
        <v>24</v>
      </c>
      <c r="BC37" s="200"/>
      <c r="BD37" s="200" t="s">
        <v>25</v>
      </c>
      <c r="BE37" s="200"/>
      <c r="BF37" s="200" t="s">
        <v>26</v>
      </c>
      <c r="BG37" s="200"/>
      <c r="BH37" s="200" t="s">
        <v>27</v>
      </c>
      <c r="BI37" s="200"/>
      <c r="BJ37" s="200" t="s">
        <v>28</v>
      </c>
      <c r="BK37" s="200"/>
      <c r="BL37" s="200" t="s">
        <v>29</v>
      </c>
      <c r="BM37" s="200"/>
      <c r="BN37" s="201" t="s">
        <v>30</v>
      </c>
      <c r="BO37" s="201"/>
      <c r="BP37" s="200" t="s">
        <v>31</v>
      </c>
      <c r="BQ37" s="200"/>
      <c r="BR37" s="200" t="s">
        <v>250</v>
      </c>
      <c r="BS37" s="200"/>
    </row>
    <row r="38" spans="1:71" s="42" customFormat="1" ht="44.25" customHeight="1" x14ac:dyDescent="0.25">
      <c r="A38" s="43"/>
      <c r="B38" s="43" t="s">
        <v>321</v>
      </c>
      <c r="C38" s="43" t="s">
        <v>322</v>
      </c>
      <c r="D38" s="43" t="s">
        <v>321</v>
      </c>
      <c r="E38" s="43" t="s">
        <v>322</v>
      </c>
      <c r="F38" s="43" t="s">
        <v>321</v>
      </c>
      <c r="G38" s="43" t="s">
        <v>322</v>
      </c>
      <c r="H38" s="43" t="s">
        <v>321</v>
      </c>
      <c r="I38" s="43" t="s">
        <v>322</v>
      </c>
      <c r="J38" s="43" t="s">
        <v>321</v>
      </c>
      <c r="K38" s="43" t="s">
        <v>322</v>
      </c>
      <c r="L38" s="43" t="s">
        <v>321</v>
      </c>
      <c r="M38" s="43" t="s">
        <v>322</v>
      </c>
      <c r="N38" s="43" t="s">
        <v>321</v>
      </c>
      <c r="O38" s="43" t="s">
        <v>322</v>
      </c>
      <c r="P38" s="43" t="s">
        <v>321</v>
      </c>
      <c r="Q38" s="43" t="s">
        <v>322</v>
      </c>
      <c r="R38" s="43" t="s">
        <v>321</v>
      </c>
      <c r="S38" s="43" t="s">
        <v>322</v>
      </c>
      <c r="T38" s="43" t="s">
        <v>321</v>
      </c>
      <c r="U38" s="43" t="s">
        <v>322</v>
      </c>
      <c r="V38" s="43" t="s">
        <v>321</v>
      </c>
      <c r="W38" s="43" t="s">
        <v>322</v>
      </c>
      <c r="X38" s="43" t="s">
        <v>321</v>
      </c>
      <c r="Y38" s="43" t="s">
        <v>322</v>
      </c>
      <c r="Z38" s="43" t="s">
        <v>321</v>
      </c>
      <c r="AA38" s="43" t="s">
        <v>322</v>
      </c>
      <c r="AB38" s="43" t="s">
        <v>321</v>
      </c>
      <c r="AC38" s="43" t="s">
        <v>322</v>
      </c>
      <c r="AD38" s="43" t="s">
        <v>321</v>
      </c>
      <c r="AE38" s="43" t="s">
        <v>322</v>
      </c>
      <c r="AF38" s="43" t="s">
        <v>321</v>
      </c>
      <c r="AG38" s="43" t="s">
        <v>322</v>
      </c>
      <c r="AH38" s="43" t="s">
        <v>321</v>
      </c>
      <c r="AI38" s="43" t="s">
        <v>322</v>
      </c>
      <c r="AJ38" s="43" t="s">
        <v>321</v>
      </c>
      <c r="AK38" s="43" t="s">
        <v>322</v>
      </c>
      <c r="AL38" s="43" t="s">
        <v>321</v>
      </c>
      <c r="AM38" s="43" t="s">
        <v>322</v>
      </c>
      <c r="AN38" s="43" t="s">
        <v>321</v>
      </c>
      <c r="AO38" s="43" t="s">
        <v>322</v>
      </c>
      <c r="AP38" s="43" t="s">
        <v>321</v>
      </c>
      <c r="AQ38" s="43" t="s">
        <v>322</v>
      </c>
      <c r="AR38" s="43" t="s">
        <v>321</v>
      </c>
      <c r="AS38" s="43" t="s">
        <v>322</v>
      </c>
      <c r="AT38" s="43" t="s">
        <v>321</v>
      </c>
      <c r="AU38" s="43" t="s">
        <v>322</v>
      </c>
      <c r="AV38" s="43" t="s">
        <v>321</v>
      </c>
      <c r="AW38" s="43" t="s">
        <v>322</v>
      </c>
      <c r="AX38" s="43" t="s">
        <v>321</v>
      </c>
      <c r="AY38" s="43" t="s">
        <v>322</v>
      </c>
      <c r="AZ38" s="43" t="s">
        <v>321</v>
      </c>
      <c r="BA38" s="43" t="s">
        <v>322</v>
      </c>
      <c r="BB38" s="43" t="s">
        <v>321</v>
      </c>
      <c r="BC38" s="43" t="s">
        <v>322</v>
      </c>
      <c r="BD38" s="43" t="s">
        <v>321</v>
      </c>
      <c r="BE38" s="43" t="s">
        <v>322</v>
      </c>
      <c r="BF38" s="43" t="s">
        <v>321</v>
      </c>
      <c r="BG38" s="43" t="s">
        <v>322</v>
      </c>
      <c r="BH38" s="43" t="s">
        <v>321</v>
      </c>
      <c r="BI38" s="43" t="s">
        <v>322</v>
      </c>
      <c r="BJ38" s="43" t="s">
        <v>321</v>
      </c>
      <c r="BK38" s="43" t="s">
        <v>322</v>
      </c>
      <c r="BL38" s="43" t="s">
        <v>321</v>
      </c>
      <c r="BM38" s="43" t="s">
        <v>322</v>
      </c>
      <c r="BN38" s="183" t="s">
        <v>321</v>
      </c>
      <c r="BO38" s="183" t="s">
        <v>322</v>
      </c>
      <c r="BP38" s="43" t="s">
        <v>321</v>
      </c>
      <c r="BQ38" s="43" t="s">
        <v>322</v>
      </c>
      <c r="BR38" s="43" t="s">
        <v>321</v>
      </c>
      <c r="BS38" s="43" t="s">
        <v>322</v>
      </c>
    </row>
    <row r="39" spans="1:71" x14ac:dyDescent="0.25">
      <c r="A39" s="107" t="s">
        <v>68</v>
      </c>
      <c r="B39" s="44"/>
      <c r="C39" s="44"/>
      <c r="D39" s="44"/>
      <c r="E39" s="44"/>
      <c r="F39" s="44"/>
      <c r="G39" s="44"/>
      <c r="H39" s="44"/>
      <c r="I39" s="44"/>
      <c r="J39" s="44">
        <v>326048</v>
      </c>
      <c r="K39" s="44">
        <v>635441</v>
      </c>
      <c r="L39" s="44">
        <v>21501</v>
      </c>
      <c r="M39" s="44">
        <v>176325</v>
      </c>
      <c r="N39" s="44">
        <v>26239</v>
      </c>
      <c r="O39" s="44">
        <v>89824</v>
      </c>
      <c r="P39" s="44"/>
      <c r="Q39" s="44"/>
      <c r="R39" s="44"/>
      <c r="S39" s="44"/>
      <c r="T39" s="44"/>
      <c r="U39" s="44"/>
      <c r="V39" s="44"/>
      <c r="W39" s="44"/>
      <c r="X39" s="44">
        <v>61824</v>
      </c>
      <c r="Y39" s="44">
        <v>174155</v>
      </c>
      <c r="Z39" s="44"/>
      <c r="AA39" s="44"/>
      <c r="AB39" s="44">
        <v>176065</v>
      </c>
      <c r="AC39" s="44">
        <v>630338</v>
      </c>
      <c r="AD39" s="44">
        <v>179783</v>
      </c>
      <c r="AE39" s="44">
        <v>877074</v>
      </c>
      <c r="AF39" s="44">
        <v>101787</v>
      </c>
      <c r="AG39" s="44">
        <v>364066</v>
      </c>
      <c r="AH39" s="44">
        <v>8</v>
      </c>
      <c r="AI39" s="44">
        <v>8</v>
      </c>
      <c r="AJ39" s="44">
        <v>18446</v>
      </c>
      <c r="AK39" s="44">
        <v>133737</v>
      </c>
      <c r="AL39" s="44">
        <v>4805</v>
      </c>
      <c r="AM39" s="44">
        <v>12311</v>
      </c>
      <c r="AN39" s="44"/>
      <c r="AO39" s="44"/>
      <c r="AP39" s="44">
        <v>396351.17300000001</v>
      </c>
      <c r="AQ39" s="44">
        <v>877264.57900000003</v>
      </c>
      <c r="AR39" s="44">
        <v>1142257</v>
      </c>
      <c r="AS39" s="44">
        <v>2414375</v>
      </c>
      <c r="AT39" s="44">
        <v>404446</v>
      </c>
      <c r="AU39" s="44">
        <v>1115310</v>
      </c>
      <c r="AV39" s="44"/>
      <c r="AW39" s="44"/>
      <c r="AX39" s="44">
        <v>119304</v>
      </c>
      <c r="AY39" s="44">
        <v>271533</v>
      </c>
      <c r="AZ39" s="44"/>
      <c r="BA39" s="44"/>
      <c r="BB39" s="44"/>
      <c r="BC39" s="44"/>
      <c r="BD39" s="44">
        <v>45398</v>
      </c>
      <c r="BE39" s="44">
        <v>249223</v>
      </c>
      <c r="BF39" s="44">
        <v>24122</v>
      </c>
      <c r="BG39" s="44">
        <v>70682</v>
      </c>
      <c r="BH39" s="44">
        <v>16283</v>
      </c>
      <c r="BI39" s="44">
        <v>51636</v>
      </c>
      <c r="BJ39" s="44"/>
      <c r="BK39" s="44"/>
      <c r="BL39" s="44">
        <v>154707</v>
      </c>
      <c r="BM39" s="44">
        <v>654868</v>
      </c>
      <c r="BN39" s="124">
        <v>733250</v>
      </c>
      <c r="BO39" s="124">
        <v>2016389</v>
      </c>
      <c r="BP39" s="44">
        <v>7103</v>
      </c>
      <c r="BQ39" s="44">
        <v>18685</v>
      </c>
      <c r="BR39" s="44">
        <f t="shared" ref="BR39:BR45" si="6">B39+D39+F39+H39+J39+L39+N39+P39+R39+T39+V39+X39+Z39+AB39+AD39+AF39+AH39+AJ39+AL39+AN39+AP39+AR39+AT39+AV39+AX39+BB39+BD39+BF39+BH39+BJ39+BL39+BN39+BP39</f>
        <v>3959727.173</v>
      </c>
      <c r="BS39" s="44">
        <f t="shared" ref="BS39:BS45" si="7">C39+E39+G39+I39+K39+M39+O39+Q39+S39+U39+W39+Y39+AA39+AC39+AE39+AG39+AI39+AK39+AM39+AO39+AQ39+AS39+AU39+AW39+AY39+BC39+BE39+BG39+BI39+BK39+BM39+BO39+BQ39</f>
        <v>10833244.579</v>
      </c>
    </row>
    <row r="40" spans="1:71" x14ac:dyDescent="0.25">
      <c r="A40" s="107" t="s">
        <v>342</v>
      </c>
      <c r="B40" s="44"/>
      <c r="C40" s="44"/>
      <c r="D40" s="44"/>
      <c r="E40" s="44"/>
      <c r="F40" s="44"/>
      <c r="G40" s="44"/>
      <c r="H40" s="44"/>
      <c r="I40" s="44"/>
      <c r="J40" s="44">
        <v>79</v>
      </c>
      <c r="K40" s="44">
        <v>2344</v>
      </c>
      <c r="L40" s="44">
        <v>11</v>
      </c>
      <c r="M40" s="44">
        <v>325</v>
      </c>
      <c r="N40" s="44">
        <v>29</v>
      </c>
      <c r="O40" s="44">
        <v>942</v>
      </c>
      <c r="P40" s="44"/>
      <c r="Q40" s="44"/>
      <c r="R40" s="44"/>
      <c r="S40" s="44"/>
      <c r="T40" s="44">
        <v>88</v>
      </c>
      <c r="U40" s="44">
        <v>88</v>
      </c>
      <c r="V40" s="44"/>
      <c r="W40" s="44"/>
      <c r="X40" s="44"/>
      <c r="Y40" s="44">
        <v>667</v>
      </c>
      <c r="Z40" s="44">
        <v>0</v>
      </c>
      <c r="AA40" s="44">
        <v>80</v>
      </c>
      <c r="AB40" s="44"/>
      <c r="AC40" s="44"/>
      <c r="AD40" s="44"/>
      <c r="AE40" s="44"/>
      <c r="AF40" s="44">
        <v>1695</v>
      </c>
      <c r="AG40" s="44">
        <v>10034</v>
      </c>
      <c r="AH40" s="44">
        <v>8</v>
      </c>
      <c r="AI40" s="44">
        <v>214</v>
      </c>
      <c r="AJ40" s="44">
        <v>16</v>
      </c>
      <c r="AK40" s="44">
        <v>447</v>
      </c>
      <c r="AL40" s="44"/>
      <c r="AM40" s="44"/>
      <c r="AN40" s="44"/>
      <c r="AO40" s="44"/>
      <c r="AP40" s="44">
        <v>84237.347999999998</v>
      </c>
      <c r="AQ40" s="44">
        <v>144336.47</v>
      </c>
      <c r="AR40" s="44"/>
      <c r="AS40" s="44"/>
      <c r="AT40" s="44">
        <v>-279729</v>
      </c>
      <c r="AU40" s="44">
        <v>-200702</v>
      </c>
      <c r="AV40" s="44">
        <v>1</v>
      </c>
      <c r="AW40" s="44">
        <v>21</v>
      </c>
      <c r="AX40" s="44">
        <v>2129</v>
      </c>
      <c r="AY40" s="44">
        <v>3117</v>
      </c>
      <c r="AZ40" s="44"/>
      <c r="BA40" s="44"/>
      <c r="BB40" s="44"/>
      <c r="BC40" s="44"/>
      <c r="BD40" s="51">
        <v>69</v>
      </c>
      <c r="BE40" s="51">
        <v>648</v>
      </c>
      <c r="BF40" s="44">
        <v>12</v>
      </c>
      <c r="BG40" s="44">
        <v>334</v>
      </c>
      <c r="BH40" s="44">
        <v>15</v>
      </c>
      <c r="BI40" s="44">
        <v>428</v>
      </c>
      <c r="BJ40" s="44"/>
      <c r="BK40" s="44"/>
      <c r="BL40" s="44">
        <v>27222</v>
      </c>
      <c r="BM40" s="44">
        <v>28938</v>
      </c>
      <c r="BN40" s="124">
        <v>-9070</v>
      </c>
      <c r="BO40" s="124">
        <v>127506</v>
      </c>
      <c r="BP40" s="44">
        <v>7</v>
      </c>
      <c r="BQ40" s="44">
        <v>214</v>
      </c>
      <c r="BR40" s="44">
        <f t="shared" si="6"/>
        <v>-173180.652</v>
      </c>
      <c r="BS40" s="44">
        <f t="shared" si="7"/>
        <v>119981.47</v>
      </c>
    </row>
    <row r="41" spans="1:71" x14ac:dyDescent="0.25">
      <c r="A41" s="107" t="s">
        <v>343</v>
      </c>
      <c r="B41" s="44"/>
      <c r="C41" s="44"/>
      <c r="D41" s="44"/>
      <c r="E41" s="44"/>
      <c r="F41" s="44"/>
      <c r="G41" s="44"/>
      <c r="H41" s="44"/>
      <c r="I41" s="44"/>
      <c r="J41" s="44">
        <v>284695</v>
      </c>
      <c r="K41" s="44">
        <v>538814</v>
      </c>
      <c r="L41" s="44">
        <v>12077</v>
      </c>
      <c r="M41" s="44">
        <v>151277</v>
      </c>
      <c r="N41" s="44">
        <v>16108</v>
      </c>
      <c r="O41" s="44">
        <v>56328</v>
      </c>
      <c r="P41" s="44"/>
      <c r="Q41" s="44"/>
      <c r="R41" s="44"/>
      <c r="S41" s="44"/>
      <c r="T41" s="44">
        <v>80</v>
      </c>
      <c r="U41" s="44"/>
      <c r="V41" s="44"/>
      <c r="W41" s="44"/>
      <c r="X41" s="44">
        <v>48663</v>
      </c>
      <c r="Y41" s="44">
        <v>139834</v>
      </c>
      <c r="Z41" s="44"/>
      <c r="AA41" s="44"/>
      <c r="AB41" s="44"/>
      <c r="AC41" s="44"/>
      <c r="AD41" s="44"/>
      <c r="AE41" s="44"/>
      <c r="AF41" s="44">
        <v>61172</v>
      </c>
      <c r="AG41" s="44">
        <v>251009</v>
      </c>
      <c r="AH41" s="44">
        <v>7</v>
      </c>
      <c r="AI41" s="44">
        <v>7</v>
      </c>
      <c r="AJ41" s="44">
        <v>12846</v>
      </c>
      <c r="AK41" s="44">
        <v>92210</v>
      </c>
      <c r="AL41" s="44"/>
      <c r="AM41" s="44"/>
      <c r="AN41" s="44"/>
      <c r="AO41" s="44"/>
      <c r="AP41" s="44">
        <v>207586.85699999999</v>
      </c>
      <c r="AQ41" s="44">
        <v>229685.13099999999</v>
      </c>
      <c r="AR41" s="44"/>
      <c r="AS41" s="44"/>
      <c r="AT41" s="44">
        <v>-229400</v>
      </c>
      <c r="AU41" s="44">
        <v>13241</v>
      </c>
      <c r="AV41" s="44"/>
      <c r="AW41" s="44"/>
      <c r="AX41" s="44">
        <v>78567</v>
      </c>
      <c r="AY41" s="44">
        <v>149691</v>
      </c>
      <c r="AZ41" s="44"/>
      <c r="BA41" s="44"/>
      <c r="BB41" s="44"/>
      <c r="BC41" s="44"/>
      <c r="BD41" s="51">
        <v>-36527</v>
      </c>
      <c r="BE41" s="51">
        <v>-219875</v>
      </c>
      <c r="BF41" s="44">
        <v>-526</v>
      </c>
      <c r="BG41" s="44">
        <v>45603</v>
      </c>
      <c r="BH41" s="44">
        <v>6859</v>
      </c>
      <c r="BI41" s="44">
        <v>23076</v>
      </c>
      <c r="BJ41" s="44"/>
      <c r="BK41" s="44"/>
      <c r="BL41" s="44">
        <v>164680</v>
      </c>
      <c r="BM41" s="44">
        <v>617480</v>
      </c>
      <c r="BN41" s="124">
        <v>299848</v>
      </c>
      <c r="BO41" s="124">
        <v>953389</v>
      </c>
      <c r="BP41" s="44">
        <v>3438</v>
      </c>
      <c r="BQ41" s="44">
        <v>6441</v>
      </c>
      <c r="BR41" s="44">
        <f t="shared" si="6"/>
        <v>930173.85699999996</v>
      </c>
      <c r="BS41" s="44">
        <f t="shared" si="7"/>
        <v>3048210.1310000001</v>
      </c>
    </row>
    <row r="42" spans="1:71" ht="15" customHeight="1" x14ac:dyDescent="0.25">
      <c r="A42" s="107" t="s">
        <v>344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182"/>
      <c r="AY42" s="44"/>
      <c r="AZ42" s="44"/>
      <c r="BA42" s="44"/>
      <c r="BB42" s="44"/>
      <c r="BC42" s="44"/>
      <c r="BD42" s="51"/>
      <c r="BE42" s="51"/>
      <c r="BF42" s="44"/>
      <c r="BG42" s="44"/>
      <c r="BH42" s="44"/>
      <c r="BI42" s="44"/>
      <c r="BJ42" s="44"/>
      <c r="BK42" s="44"/>
      <c r="BL42" s="44"/>
      <c r="BM42" s="44"/>
      <c r="BN42" s="124"/>
      <c r="BO42" s="124"/>
      <c r="BP42" s="44"/>
      <c r="BQ42" s="44"/>
      <c r="BR42" s="44">
        <f t="shared" si="6"/>
        <v>0</v>
      </c>
      <c r="BS42" s="44">
        <f t="shared" si="7"/>
        <v>0</v>
      </c>
    </row>
    <row r="43" spans="1:71" ht="15" customHeight="1" x14ac:dyDescent="0.25">
      <c r="A43" s="107" t="s">
        <v>345</v>
      </c>
      <c r="B43" s="44"/>
      <c r="C43" s="44"/>
      <c r="D43" s="44"/>
      <c r="E43" s="44"/>
      <c r="F43" s="44"/>
      <c r="G43" s="44"/>
      <c r="H43" s="44"/>
      <c r="I43" s="44"/>
      <c r="J43" s="44">
        <v>-35186</v>
      </c>
      <c r="K43" s="44">
        <v>208077</v>
      </c>
      <c r="L43" s="44">
        <v>-1891</v>
      </c>
      <c r="M43" s="44">
        <v>103869</v>
      </c>
      <c r="N43" s="44">
        <v>-1371</v>
      </c>
      <c r="O43" s="44">
        <v>35270</v>
      </c>
      <c r="P43" s="44"/>
      <c r="Q43" s="44"/>
      <c r="R43" s="44"/>
      <c r="S43" s="44"/>
      <c r="T43" s="44">
        <v>2716</v>
      </c>
      <c r="U43" s="44">
        <v>2716</v>
      </c>
      <c r="V43" s="44"/>
      <c r="W43" s="44"/>
      <c r="X43" s="44">
        <v>91941</v>
      </c>
      <c r="Y43" s="44">
        <v>91941</v>
      </c>
      <c r="Z43" s="44">
        <v>751</v>
      </c>
      <c r="AA43" s="44">
        <v>1199</v>
      </c>
      <c r="AB43" s="44">
        <v>1002597</v>
      </c>
      <c r="AC43" s="44">
        <v>1002597</v>
      </c>
      <c r="AD43" s="44">
        <v>2926366</v>
      </c>
      <c r="AE43" s="44">
        <v>2926366</v>
      </c>
      <c r="AF43" s="44">
        <v>-81005</v>
      </c>
      <c r="AG43" s="44">
        <v>202514</v>
      </c>
      <c r="AH43" s="44">
        <v>140</v>
      </c>
      <c r="AI43" s="44">
        <v>140</v>
      </c>
      <c r="AJ43" s="44">
        <v>423528</v>
      </c>
      <c r="AK43" s="44">
        <v>423528</v>
      </c>
      <c r="AL43" s="44">
        <v>117389</v>
      </c>
      <c r="AM43" s="44">
        <v>117389</v>
      </c>
      <c r="AN43" s="44"/>
      <c r="AO43" s="44"/>
      <c r="AP43" s="44">
        <v>-1073121.5410000002</v>
      </c>
      <c r="AQ43" s="44">
        <v>2887581.76</v>
      </c>
      <c r="AR43" s="44">
        <v>5822990</v>
      </c>
      <c r="AS43" s="44">
        <v>5822990</v>
      </c>
      <c r="AT43" s="44">
        <v>-971688</v>
      </c>
      <c r="AU43" s="44">
        <v>3205119</v>
      </c>
      <c r="AV43" s="44">
        <v>-82</v>
      </c>
      <c r="AW43" s="44">
        <v>927</v>
      </c>
      <c r="AX43" s="44">
        <v>324591</v>
      </c>
      <c r="AY43" s="44">
        <v>324591</v>
      </c>
      <c r="AZ43" s="44"/>
      <c r="BA43" s="44"/>
      <c r="BB43" s="44"/>
      <c r="BC43" s="44"/>
      <c r="BD43" s="51">
        <v>11430</v>
      </c>
      <c r="BE43" s="51">
        <v>1001428</v>
      </c>
      <c r="BF43" s="44">
        <v>63931</v>
      </c>
      <c r="BG43" s="44">
        <v>63931</v>
      </c>
      <c r="BH43" s="44">
        <v>64001</v>
      </c>
      <c r="BI43" s="44">
        <v>64001</v>
      </c>
      <c r="BJ43" s="44"/>
      <c r="BK43" s="44"/>
      <c r="BL43" s="44">
        <v>95290</v>
      </c>
      <c r="BM43" s="44">
        <v>95290</v>
      </c>
      <c r="BN43" s="124">
        <v>4163346</v>
      </c>
      <c r="BO43" s="124">
        <v>4163346</v>
      </c>
      <c r="BP43" s="44">
        <v>-5486</v>
      </c>
      <c r="BQ43" s="44">
        <v>67958</v>
      </c>
      <c r="BR43" s="44">
        <f t="shared" si="6"/>
        <v>12941176.458999999</v>
      </c>
      <c r="BS43" s="44">
        <f t="shared" si="7"/>
        <v>22812768.759999998</v>
      </c>
    </row>
    <row r="44" spans="1:71" ht="15" customHeight="1" x14ac:dyDescent="0.25">
      <c r="A44" s="107" t="s">
        <v>346</v>
      </c>
      <c r="B44" s="44"/>
      <c r="C44" s="44"/>
      <c r="D44" s="44"/>
      <c r="E44" s="44"/>
      <c r="F44" s="44"/>
      <c r="G44" s="44"/>
      <c r="H44" s="44"/>
      <c r="I44" s="44"/>
      <c r="J44" s="44"/>
      <c r="K44" s="44">
        <v>195589</v>
      </c>
      <c r="L44" s="44"/>
      <c r="M44" s="44">
        <v>86209</v>
      </c>
      <c r="N44" s="44"/>
      <c r="O44" s="44">
        <v>46743</v>
      </c>
      <c r="P44" s="44"/>
      <c r="Q44" s="44"/>
      <c r="R44" s="44"/>
      <c r="S44" s="44"/>
      <c r="T44" s="44">
        <v>1991</v>
      </c>
      <c r="U44" s="44"/>
      <c r="V44" s="44"/>
      <c r="W44" s="44"/>
      <c r="X44" s="44">
        <v>88118</v>
      </c>
      <c r="Y44" s="44">
        <v>90914</v>
      </c>
      <c r="Z44" s="44">
        <v>0</v>
      </c>
      <c r="AA44" s="44">
        <v>2</v>
      </c>
      <c r="AB44" s="44">
        <v>-1102699</v>
      </c>
      <c r="AC44" s="44">
        <v>-763994</v>
      </c>
      <c r="AD44" s="44">
        <v>2909492</v>
      </c>
      <c r="AE44" s="44">
        <v>2903309</v>
      </c>
      <c r="AF44" s="44"/>
      <c r="AG44" s="44">
        <v>251903</v>
      </c>
      <c r="AH44" s="44">
        <v>68</v>
      </c>
      <c r="AI44" s="44"/>
      <c r="AJ44" s="44">
        <v>285183</v>
      </c>
      <c r="AK44" s="44">
        <v>185161</v>
      </c>
      <c r="AL44" s="44">
        <v>-220209</v>
      </c>
      <c r="AM44" s="44">
        <v>-184761</v>
      </c>
      <c r="AN44" s="44"/>
      <c r="AO44" s="44"/>
      <c r="AP44" s="44">
        <v>0</v>
      </c>
      <c r="AQ44" s="44">
        <v>3294414.338</v>
      </c>
      <c r="AR44" s="44">
        <v>7247594</v>
      </c>
      <c r="AS44" s="44">
        <v>5131914</v>
      </c>
      <c r="AT44" s="44">
        <v>0</v>
      </c>
      <c r="AU44" s="44">
        <v>4141255</v>
      </c>
      <c r="AV44" s="44"/>
      <c r="AW44" s="44">
        <v>873</v>
      </c>
      <c r="AX44" s="44">
        <v>316754</v>
      </c>
      <c r="AY44" s="44">
        <v>160226</v>
      </c>
      <c r="AZ44" s="44"/>
      <c r="BA44" s="44"/>
      <c r="BB44" s="44"/>
      <c r="BC44" s="44"/>
      <c r="BD44" s="51"/>
      <c r="BE44" s="51">
        <v>-505746</v>
      </c>
      <c r="BF44" s="44">
        <v>53744</v>
      </c>
      <c r="BG44" s="44">
        <v>37265</v>
      </c>
      <c r="BH44" s="44">
        <v>72006</v>
      </c>
      <c r="BI44" s="44">
        <v>56643</v>
      </c>
      <c r="BJ44" s="44"/>
      <c r="BK44" s="44"/>
      <c r="BL44" s="44">
        <v>123082</v>
      </c>
      <c r="BM44" s="44">
        <v>101527</v>
      </c>
      <c r="BN44" s="124">
        <v>4946928</v>
      </c>
      <c r="BO44" s="124">
        <v>3211243</v>
      </c>
      <c r="BP44" s="44"/>
      <c r="BQ44" s="44">
        <v>27847</v>
      </c>
      <c r="BR44" s="44">
        <f t="shared" si="6"/>
        <v>14722052</v>
      </c>
      <c r="BS44" s="44">
        <f t="shared" si="7"/>
        <v>18468536.338</v>
      </c>
    </row>
    <row r="45" spans="1:71" x14ac:dyDescent="0.25">
      <c r="A45" s="107" t="s">
        <v>347</v>
      </c>
      <c r="B45" s="44"/>
      <c r="C45" s="44"/>
      <c r="D45" s="44"/>
      <c r="E45" s="44"/>
      <c r="F45" s="44"/>
      <c r="G45" s="44"/>
      <c r="H45" s="44"/>
      <c r="I45" s="44"/>
      <c r="J45" s="44">
        <v>6246</v>
      </c>
      <c r="K45" s="44">
        <v>111459</v>
      </c>
      <c r="L45" s="44">
        <v>7545</v>
      </c>
      <c r="M45" s="44">
        <v>43033</v>
      </c>
      <c r="N45" s="44">
        <v>8789</v>
      </c>
      <c r="O45" s="44">
        <v>22965</v>
      </c>
      <c r="P45" s="44"/>
      <c r="Q45" s="44"/>
      <c r="R45" s="44">
        <v>38</v>
      </c>
      <c r="S45" s="44">
        <v>172</v>
      </c>
      <c r="T45" s="44">
        <v>733</v>
      </c>
      <c r="U45" s="44">
        <v>2804</v>
      </c>
      <c r="V45" s="44"/>
      <c r="W45" s="44"/>
      <c r="X45" s="44">
        <v>16984</v>
      </c>
      <c r="Y45" s="44">
        <v>36015</v>
      </c>
      <c r="Z45" s="44">
        <v>751</v>
      </c>
      <c r="AA45" s="44">
        <v>1277</v>
      </c>
      <c r="AB45" s="44">
        <v>58817</v>
      </c>
      <c r="AC45" s="44">
        <v>312608</v>
      </c>
      <c r="AD45" s="44">
        <v>62776</v>
      </c>
      <c r="AE45" s="44">
        <v>324072</v>
      </c>
      <c r="AF45" s="44">
        <v>-38695</v>
      </c>
      <c r="AG45" s="44">
        <v>73702</v>
      </c>
      <c r="AH45" s="44">
        <v>81</v>
      </c>
      <c r="AI45" s="44">
        <v>355</v>
      </c>
      <c r="AJ45" s="44">
        <v>35199</v>
      </c>
      <c r="AK45" s="44">
        <v>69561</v>
      </c>
      <c r="AL45" s="44">
        <v>-7312</v>
      </c>
      <c r="AM45" s="44">
        <v>4285</v>
      </c>
      <c r="AN45" s="44"/>
      <c r="AO45" s="44"/>
      <c r="AP45" s="44">
        <v>-800119.87700000021</v>
      </c>
      <c r="AQ45" s="44">
        <v>385083.33999999985</v>
      </c>
      <c r="AR45" s="44">
        <v>-245401</v>
      </c>
      <c r="AS45" s="44">
        <v>2497211</v>
      </c>
      <c r="AT45" s="44">
        <v>-617571</v>
      </c>
      <c r="AU45" s="44">
        <v>-34769</v>
      </c>
      <c r="AV45" s="44">
        <v>-81</v>
      </c>
      <c r="AW45" s="44">
        <v>76</v>
      </c>
      <c r="AX45" s="44">
        <v>50703</v>
      </c>
      <c r="AY45" s="44">
        <v>289324</v>
      </c>
      <c r="AZ45" s="44"/>
      <c r="BA45" s="44"/>
      <c r="BB45" s="44"/>
      <c r="BC45" s="44"/>
      <c r="BD45" s="44">
        <v>2975</v>
      </c>
      <c r="BE45" s="44">
        <v>36938</v>
      </c>
      <c r="BF45" s="44">
        <v>34847</v>
      </c>
      <c r="BG45" s="44">
        <v>52079</v>
      </c>
      <c r="BH45" s="44">
        <v>1435</v>
      </c>
      <c r="BI45" s="44">
        <v>36346</v>
      </c>
      <c r="BJ45" s="44"/>
      <c r="BK45" s="44"/>
      <c r="BL45" s="44">
        <v>-10543</v>
      </c>
      <c r="BM45" s="44">
        <v>60089</v>
      </c>
      <c r="BN45" s="178">
        <v>-359250</v>
      </c>
      <c r="BO45" s="178">
        <v>2142609</v>
      </c>
      <c r="BP45" s="44">
        <v>-1814</v>
      </c>
      <c r="BQ45" s="44">
        <v>52569</v>
      </c>
      <c r="BR45" s="44">
        <f t="shared" si="6"/>
        <v>-1792867.8770000003</v>
      </c>
      <c r="BS45" s="44">
        <f t="shared" si="7"/>
        <v>6519863.3399999999</v>
      </c>
    </row>
    <row r="47" spans="1:71" x14ac:dyDescent="0.25">
      <c r="A47" s="7" t="s">
        <v>169</v>
      </c>
    </row>
    <row r="48" spans="1:71" s="15" customFormat="1" x14ac:dyDescent="0.25">
      <c r="A48" s="23" t="s">
        <v>0</v>
      </c>
      <c r="B48" s="200" t="s">
        <v>1</v>
      </c>
      <c r="C48" s="200"/>
      <c r="D48" s="200" t="s">
        <v>2</v>
      </c>
      <c r="E48" s="200"/>
      <c r="F48" s="200" t="s">
        <v>3</v>
      </c>
      <c r="G48" s="200"/>
      <c r="H48" s="200" t="s">
        <v>4</v>
      </c>
      <c r="I48" s="200"/>
      <c r="J48" s="200" t="s">
        <v>5</v>
      </c>
      <c r="K48" s="200"/>
      <c r="L48" s="200" t="s">
        <v>6</v>
      </c>
      <c r="M48" s="200"/>
      <c r="N48" s="200" t="s">
        <v>7</v>
      </c>
      <c r="O48" s="200"/>
      <c r="P48" s="200" t="s">
        <v>8</v>
      </c>
      <c r="Q48" s="200"/>
      <c r="R48" s="200" t="s">
        <v>9</v>
      </c>
      <c r="S48" s="200"/>
      <c r="T48" s="200" t="s">
        <v>10</v>
      </c>
      <c r="U48" s="200"/>
      <c r="V48" s="200" t="s">
        <v>11</v>
      </c>
      <c r="W48" s="200"/>
      <c r="X48" s="200" t="s">
        <v>12</v>
      </c>
      <c r="Y48" s="200"/>
      <c r="Z48" s="200" t="s">
        <v>13</v>
      </c>
      <c r="AA48" s="200"/>
      <c r="AB48" s="200" t="s">
        <v>14</v>
      </c>
      <c r="AC48" s="200"/>
      <c r="AD48" s="200" t="s">
        <v>15</v>
      </c>
      <c r="AE48" s="200"/>
      <c r="AF48" s="200" t="s">
        <v>16</v>
      </c>
      <c r="AG48" s="200"/>
      <c r="AH48" s="200" t="s">
        <v>17</v>
      </c>
      <c r="AI48" s="200"/>
      <c r="AJ48" s="200" t="s">
        <v>18</v>
      </c>
      <c r="AK48" s="200"/>
      <c r="AL48" s="200" t="s">
        <v>19</v>
      </c>
      <c r="AM48" s="200"/>
      <c r="AN48" s="200" t="s">
        <v>20</v>
      </c>
      <c r="AO48" s="200"/>
      <c r="AP48" s="200" t="s">
        <v>21</v>
      </c>
      <c r="AQ48" s="200"/>
      <c r="AR48" s="200" t="s">
        <v>147</v>
      </c>
      <c r="AS48" s="200"/>
      <c r="AT48" s="200" t="s">
        <v>148</v>
      </c>
      <c r="AU48" s="200"/>
      <c r="AV48" s="200" t="s">
        <v>22</v>
      </c>
      <c r="AW48" s="200"/>
      <c r="AX48" s="200" t="s">
        <v>23</v>
      </c>
      <c r="AY48" s="200"/>
      <c r="AZ48" s="200" t="s">
        <v>332</v>
      </c>
      <c r="BA48" s="200"/>
      <c r="BB48" s="200" t="s">
        <v>24</v>
      </c>
      <c r="BC48" s="200"/>
      <c r="BD48" s="200" t="s">
        <v>25</v>
      </c>
      <c r="BE48" s="200"/>
      <c r="BF48" s="200" t="s">
        <v>26</v>
      </c>
      <c r="BG48" s="200"/>
      <c r="BH48" s="200" t="s">
        <v>27</v>
      </c>
      <c r="BI48" s="200"/>
      <c r="BJ48" s="200" t="s">
        <v>28</v>
      </c>
      <c r="BK48" s="200"/>
      <c r="BL48" s="200" t="s">
        <v>29</v>
      </c>
      <c r="BM48" s="200"/>
      <c r="BN48" s="201" t="s">
        <v>30</v>
      </c>
      <c r="BO48" s="201"/>
      <c r="BP48" s="200" t="s">
        <v>31</v>
      </c>
      <c r="BQ48" s="200"/>
      <c r="BR48" s="200" t="s">
        <v>250</v>
      </c>
      <c r="BS48" s="200"/>
    </row>
    <row r="49" spans="1:71" s="42" customFormat="1" ht="44.25" customHeight="1" x14ac:dyDescent="0.25">
      <c r="A49" s="43"/>
      <c r="B49" s="43" t="s">
        <v>321</v>
      </c>
      <c r="C49" s="43" t="s">
        <v>322</v>
      </c>
      <c r="D49" s="43" t="s">
        <v>321</v>
      </c>
      <c r="E49" s="43" t="s">
        <v>322</v>
      </c>
      <c r="F49" s="43" t="s">
        <v>321</v>
      </c>
      <c r="G49" s="43" t="s">
        <v>322</v>
      </c>
      <c r="H49" s="43" t="s">
        <v>321</v>
      </c>
      <c r="I49" s="43" t="s">
        <v>322</v>
      </c>
      <c r="J49" s="43" t="s">
        <v>321</v>
      </c>
      <c r="K49" s="43" t="s">
        <v>322</v>
      </c>
      <c r="L49" s="43" t="s">
        <v>321</v>
      </c>
      <c r="M49" s="43" t="s">
        <v>322</v>
      </c>
      <c r="N49" s="43" t="s">
        <v>321</v>
      </c>
      <c r="O49" s="43" t="s">
        <v>322</v>
      </c>
      <c r="P49" s="43" t="s">
        <v>321</v>
      </c>
      <c r="Q49" s="43" t="s">
        <v>322</v>
      </c>
      <c r="R49" s="43" t="s">
        <v>321</v>
      </c>
      <c r="S49" s="43" t="s">
        <v>322</v>
      </c>
      <c r="T49" s="43" t="s">
        <v>321</v>
      </c>
      <c r="U49" s="43" t="s">
        <v>322</v>
      </c>
      <c r="V49" s="43" t="s">
        <v>321</v>
      </c>
      <c r="W49" s="43" t="s">
        <v>322</v>
      </c>
      <c r="X49" s="43" t="s">
        <v>321</v>
      </c>
      <c r="Y49" s="43" t="s">
        <v>322</v>
      </c>
      <c r="Z49" s="43" t="s">
        <v>321</v>
      </c>
      <c r="AA49" s="43" t="s">
        <v>322</v>
      </c>
      <c r="AB49" s="43" t="s">
        <v>321</v>
      </c>
      <c r="AC49" s="43" t="s">
        <v>322</v>
      </c>
      <c r="AD49" s="43" t="s">
        <v>321</v>
      </c>
      <c r="AE49" s="43" t="s">
        <v>322</v>
      </c>
      <c r="AF49" s="43" t="s">
        <v>321</v>
      </c>
      <c r="AG49" s="43" t="s">
        <v>322</v>
      </c>
      <c r="AH49" s="43" t="s">
        <v>321</v>
      </c>
      <c r="AI49" s="43" t="s">
        <v>322</v>
      </c>
      <c r="AJ49" s="43" t="s">
        <v>321</v>
      </c>
      <c r="AK49" s="43" t="s">
        <v>322</v>
      </c>
      <c r="AL49" s="43" t="s">
        <v>321</v>
      </c>
      <c r="AM49" s="43" t="s">
        <v>322</v>
      </c>
      <c r="AN49" s="43" t="s">
        <v>321</v>
      </c>
      <c r="AO49" s="43" t="s">
        <v>322</v>
      </c>
      <c r="AP49" s="43" t="s">
        <v>321</v>
      </c>
      <c r="AQ49" s="43" t="s">
        <v>322</v>
      </c>
      <c r="AR49" s="43" t="s">
        <v>321</v>
      </c>
      <c r="AS49" s="43" t="s">
        <v>322</v>
      </c>
      <c r="AT49" s="43" t="s">
        <v>321</v>
      </c>
      <c r="AU49" s="43" t="s">
        <v>322</v>
      </c>
      <c r="AV49" s="43" t="s">
        <v>321</v>
      </c>
      <c r="AW49" s="43" t="s">
        <v>322</v>
      </c>
      <c r="AX49" s="43" t="s">
        <v>321</v>
      </c>
      <c r="AY49" s="43" t="s">
        <v>322</v>
      </c>
      <c r="AZ49" s="43" t="s">
        <v>321</v>
      </c>
      <c r="BA49" s="43" t="s">
        <v>322</v>
      </c>
      <c r="BB49" s="43" t="s">
        <v>321</v>
      </c>
      <c r="BC49" s="43" t="s">
        <v>322</v>
      </c>
      <c r="BD49" s="43" t="s">
        <v>321</v>
      </c>
      <c r="BE49" s="43" t="s">
        <v>322</v>
      </c>
      <c r="BF49" s="43" t="s">
        <v>321</v>
      </c>
      <c r="BG49" s="43" t="s">
        <v>322</v>
      </c>
      <c r="BH49" s="43" t="s">
        <v>321</v>
      </c>
      <c r="BI49" s="43" t="s">
        <v>322</v>
      </c>
      <c r="BJ49" s="43" t="s">
        <v>321</v>
      </c>
      <c r="BK49" s="43" t="s">
        <v>322</v>
      </c>
      <c r="BL49" s="43" t="s">
        <v>321</v>
      </c>
      <c r="BM49" s="43" t="s">
        <v>322</v>
      </c>
      <c r="BN49" s="183" t="s">
        <v>321</v>
      </c>
      <c r="BO49" s="183" t="s">
        <v>322</v>
      </c>
      <c r="BP49" s="43" t="s">
        <v>321</v>
      </c>
      <c r="BQ49" s="43" t="s">
        <v>322</v>
      </c>
      <c r="BR49" s="43" t="s">
        <v>321</v>
      </c>
      <c r="BS49" s="43" t="s">
        <v>322</v>
      </c>
    </row>
    <row r="50" spans="1:71" x14ac:dyDescent="0.25">
      <c r="A50" s="107" t="s">
        <v>68</v>
      </c>
      <c r="B50" s="44">
        <v>10684</v>
      </c>
      <c r="C50" s="44">
        <v>14252</v>
      </c>
      <c r="D50" s="44">
        <v>643954</v>
      </c>
      <c r="E50" s="44">
        <v>1809312</v>
      </c>
      <c r="F50" s="44"/>
      <c r="G50" s="44"/>
      <c r="H50" s="44">
        <v>3227696</v>
      </c>
      <c r="I50" s="44">
        <v>11296191</v>
      </c>
      <c r="J50" s="44">
        <v>5682054</v>
      </c>
      <c r="K50" s="44">
        <v>16846228</v>
      </c>
      <c r="L50" s="44">
        <v>582811</v>
      </c>
      <c r="M50" s="44">
        <v>1727555</v>
      </c>
      <c r="N50" s="44">
        <v>340202</v>
      </c>
      <c r="O50" s="44">
        <v>1080412</v>
      </c>
      <c r="P50" s="44">
        <v>780354</v>
      </c>
      <c r="Q50" s="44">
        <v>2460117</v>
      </c>
      <c r="R50" s="44">
        <v>61567</v>
      </c>
      <c r="S50" s="44">
        <v>91779</v>
      </c>
      <c r="T50" s="44">
        <v>45553</v>
      </c>
      <c r="U50" s="44">
        <v>58468</v>
      </c>
      <c r="V50" s="44"/>
      <c r="W50" s="44"/>
      <c r="X50" s="44">
        <v>564839</v>
      </c>
      <c r="Y50" s="44">
        <v>2102619</v>
      </c>
      <c r="Z50" s="44">
        <v>6827</v>
      </c>
      <c r="AA50" s="44">
        <v>21884</v>
      </c>
      <c r="AB50" s="44">
        <v>2002594</v>
      </c>
      <c r="AC50" s="44">
        <v>6659100</v>
      </c>
      <c r="AD50" s="44">
        <v>3767753</v>
      </c>
      <c r="AE50" s="44">
        <v>12327620</v>
      </c>
      <c r="AF50" s="44">
        <v>2133150</v>
      </c>
      <c r="AG50" s="44">
        <v>7750401</v>
      </c>
      <c r="AH50" s="44">
        <v>55695</v>
      </c>
      <c r="AI50" s="44">
        <v>159777</v>
      </c>
      <c r="AJ50" s="44">
        <v>403226</v>
      </c>
      <c r="AK50" s="44">
        <v>1150903</v>
      </c>
      <c r="AL50" s="44">
        <v>187203</v>
      </c>
      <c r="AM50" s="44">
        <v>200676</v>
      </c>
      <c r="AN50" s="44">
        <v>1241303</v>
      </c>
      <c r="AO50" s="44">
        <v>4044310</v>
      </c>
      <c r="AP50" s="44">
        <v>17888848.310999997</v>
      </c>
      <c r="AQ50" s="44">
        <v>56640329.556999996</v>
      </c>
      <c r="AR50" s="44">
        <v>22937090</v>
      </c>
      <c r="AS50" s="44">
        <v>78615597</v>
      </c>
      <c r="AT50" s="44">
        <v>14127810</v>
      </c>
      <c r="AU50" s="44">
        <v>42017719</v>
      </c>
      <c r="AV50" s="44"/>
      <c r="AW50" s="44">
        <v>18</v>
      </c>
      <c r="AX50" s="44">
        <v>2322347</v>
      </c>
      <c r="AY50" s="44">
        <v>8097529</v>
      </c>
      <c r="AZ50" s="44">
        <v>27</v>
      </c>
      <c r="BA50" s="44">
        <v>27</v>
      </c>
      <c r="BB50" s="44">
        <v>2941178</v>
      </c>
      <c r="BC50" s="44">
        <v>7634582</v>
      </c>
      <c r="BD50" s="44">
        <v>566857</v>
      </c>
      <c r="BE50" s="44">
        <v>1781179</v>
      </c>
      <c r="BF50" s="44">
        <v>797321</v>
      </c>
      <c r="BG50" s="44">
        <v>2208051</v>
      </c>
      <c r="BH50" s="44">
        <v>1049</v>
      </c>
      <c r="BI50" s="44">
        <v>1139</v>
      </c>
      <c r="BJ50" s="44"/>
      <c r="BK50" s="44"/>
      <c r="BL50" s="44">
        <v>1202595</v>
      </c>
      <c r="BM50" s="44">
        <v>3560464</v>
      </c>
      <c r="BN50" s="124">
        <v>14337727</v>
      </c>
      <c r="BO50" s="124">
        <v>56910258</v>
      </c>
      <c r="BP50" s="44">
        <v>281882</v>
      </c>
      <c r="BQ50" s="44">
        <v>969946</v>
      </c>
      <c r="BR50" s="44">
        <f t="shared" ref="BR50:BR56" si="8">B50+D50+F50+H50+J50+L50+N50+P50+R50+T50+V50+X50+Z50+AB50+AD50+AF50+AH50+AJ50+AL50+AN50+AP50+AR50+AT50+AV50+AX50+BB50+BD50+BF50+BH50+BJ50+BL50+BN50+BP50</f>
        <v>99142169.31099999</v>
      </c>
      <c r="BS50" s="44">
        <f t="shared" ref="BS50:BS56" si="9">C50+E50+G50+I50+K50+M50+O50+Q50+S50+U50+W50+Y50+AA50+AC50+AE50+AG50+AI50+AK50+AM50+AO50+AQ50+AS50+AU50+AW50+AY50+BC50+BE50+BG50+BI50+BK50+BM50+BO50+BQ50</f>
        <v>328238415.55699998</v>
      </c>
    </row>
    <row r="51" spans="1:71" x14ac:dyDescent="0.25">
      <c r="A51" s="107" t="s">
        <v>342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>
        <v>1550</v>
      </c>
      <c r="U51" s="44">
        <v>4089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>
        <v>12</v>
      </c>
      <c r="AH51" s="44"/>
      <c r="AI51" s="44"/>
      <c r="AJ51" s="44"/>
      <c r="AK51" s="44"/>
      <c r="AL51" s="44"/>
      <c r="AM51" s="44"/>
      <c r="AN51" s="44"/>
      <c r="AO51" s="44"/>
      <c r="AP51" s="44">
        <v>0</v>
      </c>
      <c r="AQ51" s="44">
        <v>0</v>
      </c>
      <c r="AR51" s="44"/>
      <c r="AS51" s="44"/>
      <c r="AT51" s="44">
        <v>889</v>
      </c>
      <c r="AU51" s="44">
        <v>891</v>
      </c>
      <c r="AV51" s="44"/>
      <c r="AW51" s="44"/>
      <c r="AX51" s="44"/>
      <c r="AY51" s="44"/>
      <c r="AZ51" s="44"/>
      <c r="BA51" s="44"/>
      <c r="BB51" s="44"/>
      <c r="BC51" s="44"/>
      <c r="BD51" s="51"/>
      <c r="BE51" s="51"/>
      <c r="BF51" s="44"/>
      <c r="BG51" s="44"/>
      <c r="BH51" s="44"/>
      <c r="BI51" s="44"/>
      <c r="BJ51" s="44"/>
      <c r="BK51" s="44"/>
      <c r="BL51" s="44"/>
      <c r="BM51" s="44"/>
      <c r="BN51" s="124">
        <v>0</v>
      </c>
      <c r="BO51" s="124">
        <v>0</v>
      </c>
      <c r="BP51" s="44"/>
      <c r="BQ51" s="44"/>
      <c r="BR51" s="44">
        <f t="shared" si="8"/>
        <v>2439</v>
      </c>
      <c r="BS51" s="44">
        <f t="shared" si="9"/>
        <v>4992</v>
      </c>
    </row>
    <row r="52" spans="1:71" x14ac:dyDescent="0.25">
      <c r="A52" s="107" t="s">
        <v>343</v>
      </c>
      <c r="B52" s="44">
        <v>899</v>
      </c>
      <c r="C52" s="44">
        <v>1531</v>
      </c>
      <c r="D52" s="44">
        <v>29939</v>
      </c>
      <c r="E52" s="44">
        <v>86680</v>
      </c>
      <c r="F52" s="44"/>
      <c r="G52" s="44"/>
      <c r="H52" s="44">
        <v>457105</v>
      </c>
      <c r="I52" s="44">
        <v>1648405</v>
      </c>
      <c r="J52" s="44">
        <v>746230</v>
      </c>
      <c r="K52" s="44">
        <v>2536602</v>
      </c>
      <c r="L52" s="44">
        <v>39812</v>
      </c>
      <c r="M52" s="44">
        <v>107163</v>
      </c>
      <c r="N52" s="44">
        <v>36719</v>
      </c>
      <c r="O52" s="44">
        <v>124428</v>
      </c>
      <c r="P52" s="44">
        <v>36698</v>
      </c>
      <c r="Q52" s="44">
        <v>117778</v>
      </c>
      <c r="R52" s="44"/>
      <c r="S52" s="44"/>
      <c r="T52" s="44">
        <v>11810</v>
      </c>
      <c r="U52" s="44">
        <v>33258</v>
      </c>
      <c r="V52" s="44"/>
      <c r="W52" s="44"/>
      <c r="X52" s="44">
        <v>141449</v>
      </c>
      <c r="Y52" s="44">
        <v>523147</v>
      </c>
      <c r="Z52" s="44">
        <v>342</v>
      </c>
      <c r="AA52" s="44">
        <v>1095</v>
      </c>
      <c r="AB52" s="44"/>
      <c r="AC52" s="44"/>
      <c r="AD52" s="44"/>
      <c r="AE52" s="44"/>
      <c r="AF52" s="44">
        <v>158951</v>
      </c>
      <c r="AG52" s="44">
        <v>581413</v>
      </c>
      <c r="AH52" s="44">
        <v>2622</v>
      </c>
      <c r="AI52" s="44">
        <v>7989</v>
      </c>
      <c r="AJ52" s="44">
        <v>19652</v>
      </c>
      <c r="AK52" s="44">
        <v>55251</v>
      </c>
      <c r="AL52" s="44"/>
      <c r="AM52" s="44"/>
      <c r="AN52" s="44">
        <v>251269</v>
      </c>
      <c r="AO52" s="44">
        <v>982994</v>
      </c>
      <c r="AP52" s="44">
        <v>6316549.7339999992</v>
      </c>
      <c r="AQ52" s="44">
        <v>17945769.745999999</v>
      </c>
      <c r="AR52" s="44"/>
      <c r="AS52" s="44"/>
      <c r="AT52" s="44">
        <v>553155</v>
      </c>
      <c r="AU52" s="44">
        <v>2242241</v>
      </c>
      <c r="AV52" s="44"/>
      <c r="AW52" s="44">
        <v>1</v>
      </c>
      <c r="AX52" s="44">
        <v>123654</v>
      </c>
      <c r="AY52" s="44">
        <v>555295</v>
      </c>
      <c r="AZ52" s="44">
        <v>1</v>
      </c>
      <c r="BA52" s="44">
        <v>1</v>
      </c>
      <c r="BB52" s="44"/>
      <c r="BC52" s="44"/>
      <c r="BD52" s="51">
        <v>-109248</v>
      </c>
      <c r="BE52" s="51">
        <v>-328315</v>
      </c>
      <c r="BF52" s="44">
        <v>77230</v>
      </c>
      <c r="BG52" s="44">
        <v>147777</v>
      </c>
      <c r="BH52" s="44">
        <v>839</v>
      </c>
      <c r="BI52" s="44">
        <v>911</v>
      </c>
      <c r="BJ52" s="44"/>
      <c r="BK52" s="44"/>
      <c r="BL52" s="44">
        <v>83486</v>
      </c>
      <c r="BM52" s="44">
        <v>223544</v>
      </c>
      <c r="BN52" s="124">
        <v>655854</v>
      </c>
      <c r="BO52" s="124">
        <v>5709468</v>
      </c>
      <c r="BP52" s="44">
        <v>14281</v>
      </c>
      <c r="BQ52" s="44">
        <v>48939</v>
      </c>
      <c r="BR52" s="44">
        <f t="shared" si="8"/>
        <v>9649297.7339999992</v>
      </c>
      <c r="BS52" s="44">
        <f t="shared" si="9"/>
        <v>33353364.745999999</v>
      </c>
    </row>
    <row r="53" spans="1:71" x14ac:dyDescent="0.25">
      <c r="A53" s="107" t="s">
        <v>344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51"/>
      <c r="BE53" s="51"/>
      <c r="BF53" s="44"/>
      <c r="BG53" s="44"/>
      <c r="BH53" s="44"/>
      <c r="BI53" s="44"/>
      <c r="BJ53" s="44"/>
      <c r="BK53" s="44"/>
      <c r="BL53" s="44"/>
      <c r="BM53" s="44"/>
      <c r="BN53" s="124"/>
      <c r="BO53" s="124"/>
      <c r="BP53" s="44"/>
      <c r="BQ53" s="44"/>
      <c r="BR53" s="44">
        <f t="shared" si="8"/>
        <v>0</v>
      </c>
      <c r="BS53" s="44">
        <f t="shared" si="9"/>
        <v>0</v>
      </c>
    </row>
    <row r="54" spans="1:71" ht="15" customHeight="1" x14ac:dyDescent="0.25">
      <c r="A54" s="107" t="s">
        <v>345</v>
      </c>
      <c r="B54" s="44">
        <v>46961</v>
      </c>
      <c r="C54" s="44">
        <v>46961</v>
      </c>
      <c r="D54" s="44">
        <v>408856</v>
      </c>
      <c r="E54" s="44">
        <v>408856</v>
      </c>
      <c r="F54" s="44"/>
      <c r="G54" s="44"/>
      <c r="H54" s="44">
        <v>1913094</v>
      </c>
      <c r="I54" s="44">
        <v>1913094</v>
      </c>
      <c r="J54" s="44">
        <v>-757521</v>
      </c>
      <c r="K54" s="44">
        <v>3105747</v>
      </c>
      <c r="L54" s="44">
        <v>-81082</v>
      </c>
      <c r="M54" s="44">
        <v>528073</v>
      </c>
      <c r="N54" s="44">
        <v>-21550</v>
      </c>
      <c r="O54" s="44">
        <v>254270</v>
      </c>
      <c r="P54" s="44">
        <v>441602</v>
      </c>
      <c r="Q54" s="44">
        <v>441602</v>
      </c>
      <c r="R54" s="44"/>
      <c r="S54" s="44"/>
      <c r="T54" s="44">
        <v>212300</v>
      </c>
      <c r="U54" s="44">
        <v>212300</v>
      </c>
      <c r="V54" s="44"/>
      <c r="W54" s="44"/>
      <c r="X54" s="44">
        <v>304202</v>
      </c>
      <c r="Y54" s="44">
        <v>304202</v>
      </c>
      <c r="Z54" s="44">
        <v>1196</v>
      </c>
      <c r="AA54" s="44">
        <v>2593</v>
      </c>
      <c r="AB54" s="44">
        <v>1567972</v>
      </c>
      <c r="AC54" s="44">
        <v>1567972</v>
      </c>
      <c r="AD54" s="44">
        <v>5118360</v>
      </c>
      <c r="AE54" s="44">
        <v>5118360</v>
      </c>
      <c r="AF54" s="44">
        <v>51620</v>
      </c>
      <c r="AG54" s="44">
        <v>1284820</v>
      </c>
      <c r="AH54" s="44">
        <v>45375</v>
      </c>
      <c r="AI54" s="44">
        <v>45375</v>
      </c>
      <c r="AJ54" s="44">
        <v>240494</v>
      </c>
      <c r="AK54" s="44">
        <v>240494</v>
      </c>
      <c r="AL54" s="44">
        <v>302685</v>
      </c>
      <c r="AM54" s="44">
        <v>302685</v>
      </c>
      <c r="AN54" s="44">
        <v>1034357</v>
      </c>
      <c r="AO54" s="44">
        <v>1034357</v>
      </c>
      <c r="AP54" s="44">
        <v>-4289487.6889999993</v>
      </c>
      <c r="AQ54" s="44">
        <v>6338330.2010000004</v>
      </c>
      <c r="AR54" s="44">
        <v>11069221</v>
      </c>
      <c r="AS54" s="44">
        <v>11069221</v>
      </c>
      <c r="AT54" s="44">
        <v>-3290652</v>
      </c>
      <c r="AU54" s="44">
        <v>6986292</v>
      </c>
      <c r="AV54" s="44">
        <v>204</v>
      </c>
      <c r="AW54" s="44">
        <v>1139</v>
      </c>
      <c r="AX54" s="44">
        <v>2715256</v>
      </c>
      <c r="AY54" s="44">
        <v>2715256</v>
      </c>
      <c r="AZ54" s="44">
        <v>1710</v>
      </c>
      <c r="BA54" s="44">
        <v>1817</v>
      </c>
      <c r="BB54" s="44"/>
      <c r="BC54" s="44"/>
      <c r="BD54" s="51">
        <v>2451</v>
      </c>
      <c r="BE54" s="51">
        <v>560703</v>
      </c>
      <c r="BF54" s="44">
        <v>1650690</v>
      </c>
      <c r="BG54" s="44">
        <v>1650690</v>
      </c>
      <c r="BH54" s="44">
        <v>3459</v>
      </c>
      <c r="BI54" s="44">
        <v>3459</v>
      </c>
      <c r="BJ54" s="44"/>
      <c r="BK54" s="44"/>
      <c r="BL54" s="44">
        <v>1387868</v>
      </c>
      <c r="BM54" s="44">
        <v>1387868</v>
      </c>
      <c r="BN54" s="124">
        <v>9156590</v>
      </c>
      <c r="BO54" s="124">
        <v>9156590</v>
      </c>
      <c r="BP54" s="44">
        <v>-16780</v>
      </c>
      <c r="BQ54" s="44">
        <v>136194</v>
      </c>
      <c r="BR54" s="44">
        <f t="shared" si="8"/>
        <v>29217740.311000001</v>
      </c>
      <c r="BS54" s="44">
        <f t="shared" si="9"/>
        <v>56817503.201000005</v>
      </c>
    </row>
    <row r="55" spans="1:71" ht="15" customHeight="1" x14ac:dyDescent="0.25">
      <c r="A55" s="107" t="s">
        <v>346</v>
      </c>
      <c r="B55" s="44">
        <v>16016</v>
      </c>
      <c r="C55" s="44">
        <v>528</v>
      </c>
      <c r="D55" s="44">
        <v>399713</v>
      </c>
      <c r="E55" s="44">
        <v>215006</v>
      </c>
      <c r="F55" s="44"/>
      <c r="G55" s="44"/>
      <c r="H55" s="44">
        <v>1728288</v>
      </c>
      <c r="I55" s="44">
        <v>1435271</v>
      </c>
      <c r="J55" s="44"/>
      <c r="K55" s="44">
        <v>2504511</v>
      </c>
      <c r="L55" s="44"/>
      <c r="M55" s="44">
        <v>322419</v>
      </c>
      <c r="N55" s="44"/>
      <c r="O55" s="44">
        <v>282269</v>
      </c>
      <c r="P55" s="44">
        <v>529087</v>
      </c>
      <c r="Q55" s="44">
        <v>384649</v>
      </c>
      <c r="R55" s="44"/>
      <c r="S55" s="44"/>
      <c r="T55" s="44">
        <v>114934</v>
      </c>
      <c r="U55" s="44">
        <v>127</v>
      </c>
      <c r="V55" s="44"/>
      <c r="W55" s="44"/>
      <c r="X55" s="44">
        <v>300326</v>
      </c>
      <c r="Y55" s="44">
        <v>314209</v>
      </c>
      <c r="Z55" s="44">
        <v>0</v>
      </c>
      <c r="AA55" s="44">
        <v>7783</v>
      </c>
      <c r="AB55" s="44">
        <v>-1737591</v>
      </c>
      <c r="AC55" s="44">
        <v>-1230648</v>
      </c>
      <c r="AD55" s="44">
        <v>5613425</v>
      </c>
      <c r="AE55" s="44">
        <v>4114485</v>
      </c>
      <c r="AF55" s="44"/>
      <c r="AG55" s="44">
        <v>1036994</v>
      </c>
      <c r="AH55" s="44">
        <v>40803</v>
      </c>
      <c r="AI55" s="44">
        <v>22674</v>
      </c>
      <c r="AJ55" s="44">
        <v>318561</v>
      </c>
      <c r="AK55" s="44">
        <v>204052</v>
      </c>
      <c r="AL55" s="44">
        <v>-41176</v>
      </c>
      <c r="AM55" s="44">
        <v>-12787</v>
      </c>
      <c r="AN55" s="44">
        <v>1135690</v>
      </c>
      <c r="AO55" s="44">
        <v>608926</v>
      </c>
      <c r="AP55" s="44">
        <v>7282810.8869999982</v>
      </c>
      <c r="AQ55" s="44">
        <v>35332978.467999995</v>
      </c>
      <c r="AR55" s="44">
        <v>12080379</v>
      </c>
      <c r="AS55" s="44">
        <v>10177223</v>
      </c>
      <c r="AT55" s="44">
        <v>0</v>
      </c>
      <c r="AU55" s="44">
        <v>7177989</v>
      </c>
      <c r="AV55" s="44"/>
      <c r="AW55" s="44">
        <v>787</v>
      </c>
      <c r="AX55" s="44">
        <v>2625279</v>
      </c>
      <c r="AY55" s="44">
        <v>2065769</v>
      </c>
      <c r="AZ55" s="44"/>
      <c r="BA55" s="44"/>
      <c r="BB55" s="44"/>
      <c r="BC55" s="44"/>
      <c r="BD55" s="51"/>
      <c r="BE55" s="51">
        <v>-320942</v>
      </c>
      <c r="BF55" s="44">
        <v>1719693</v>
      </c>
      <c r="BG55" s="44">
        <v>1039536</v>
      </c>
      <c r="BH55" s="44">
        <v>3174</v>
      </c>
      <c r="BI55" s="44">
        <v>616</v>
      </c>
      <c r="BJ55" s="44"/>
      <c r="BK55" s="44"/>
      <c r="BL55" s="44">
        <v>1159434</v>
      </c>
      <c r="BM55" s="44">
        <v>578796</v>
      </c>
      <c r="BN55" s="124">
        <v>12352772</v>
      </c>
      <c r="BO55" s="124">
        <v>9444192</v>
      </c>
      <c r="BP55" s="44"/>
      <c r="BQ55" s="44">
        <v>134540</v>
      </c>
      <c r="BR55" s="44">
        <f t="shared" si="8"/>
        <v>45641617.886999995</v>
      </c>
      <c r="BS55" s="44">
        <f t="shared" si="9"/>
        <v>75841952.467999995</v>
      </c>
    </row>
    <row r="56" spans="1:71" x14ac:dyDescent="0.25">
      <c r="A56" s="107" t="s">
        <v>347</v>
      </c>
      <c r="B56" s="44">
        <v>40730</v>
      </c>
      <c r="C56" s="44">
        <v>59154</v>
      </c>
      <c r="D56" s="44">
        <v>623158</v>
      </c>
      <c r="E56" s="44">
        <v>1916482</v>
      </c>
      <c r="F56" s="44"/>
      <c r="G56" s="44"/>
      <c r="H56" s="44">
        <v>2955397</v>
      </c>
      <c r="I56" s="44">
        <v>10125609</v>
      </c>
      <c r="J56" s="44">
        <v>4178303</v>
      </c>
      <c r="K56" s="44">
        <v>14910862</v>
      </c>
      <c r="L56" s="44">
        <v>461918</v>
      </c>
      <c r="M56" s="44">
        <v>1826046</v>
      </c>
      <c r="N56" s="44">
        <v>281933</v>
      </c>
      <c r="O56" s="44">
        <v>927985</v>
      </c>
      <c r="P56" s="44">
        <v>656170</v>
      </c>
      <c r="Q56" s="44">
        <v>2399292</v>
      </c>
      <c r="R56" s="44">
        <v>87527</v>
      </c>
      <c r="S56" s="44">
        <v>201922</v>
      </c>
      <c r="T56" s="44">
        <v>132659</v>
      </c>
      <c r="U56" s="44">
        <v>241472</v>
      </c>
      <c r="V56" s="44"/>
      <c r="W56" s="44"/>
      <c r="X56" s="44">
        <v>427266</v>
      </c>
      <c r="Y56" s="44">
        <v>1569465</v>
      </c>
      <c r="Z56" s="44">
        <v>7681</v>
      </c>
      <c r="AA56" s="44">
        <v>15599</v>
      </c>
      <c r="AB56" s="44">
        <v>1463180</v>
      </c>
      <c r="AC56" s="44">
        <v>5368123</v>
      </c>
      <c r="AD56" s="44">
        <v>3096975</v>
      </c>
      <c r="AE56" s="44">
        <v>12836893</v>
      </c>
      <c r="AF56" s="44">
        <v>2025819</v>
      </c>
      <c r="AG56" s="44">
        <v>7416826</v>
      </c>
      <c r="AH56" s="44">
        <v>57645</v>
      </c>
      <c r="AI56" s="44">
        <v>174489</v>
      </c>
      <c r="AJ56" s="44">
        <v>313997</v>
      </c>
      <c r="AK56" s="44">
        <v>1134022</v>
      </c>
      <c r="AL56" s="44">
        <v>427202</v>
      </c>
      <c r="AM56" s="44">
        <v>447780</v>
      </c>
      <c r="AN56" s="44">
        <v>888702</v>
      </c>
      <c r="AO56" s="44">
        <v>3486747</v>
      </c>
      <c r="AP56" s="44">
        <v>7282810.8869999982</v>
      </c>
      <c r="AQ56" s="44">
        <v>35332978.467999995</v>
      </c>
      <c r="AR56" s="44">
        <v>19114490</v>
      </c>
      <c r="AS56" s="44">
        <v>69050967</v>
      </c>
      <c r="AT56" s="44">
        <v>10284892</v>
      </c>
      <c r="AU56" s="44">
        <v>39584671</v>
      </c>
      <c r="AV56" s="44">
        <v>204</v>
      </c>
      <c r="AW56" s="44">
        <v>369</v>
      </c>
      <c r="AX56" s="44">
        <v>2288670</v>
      </c>
      <c r="AY56" s="44">
        <v>8191721</v>
      </c>
      <c r="AZ56" s="44">
        <v>1736</v>
      </c>
      <c r="BA56" s="44">
        <v>1843</v>
      </c>
      <c r="BB56" s="44">
        <v>1510734</v>
      </c>
      <c r="BC56" s="44">
        <v>5716758</v>
      </c>
      <c r="BD56" s="44">
        <v>465973</v>
      </c>
      <c r="BE56" s="44">
        <v>1642730</v>
      </c>
      <c r="BF56" s="44">
        <v>651088</v>
      </c>
      <c r="BG56" s="44">
        <v>2671428</v>
      </c>
      <c r="BH56" s="44">
        <v>496</v>
      </c>
      <c r="BI56" s="44">
        <v>3071</v>
      </c>
      <c r="BJ56" s="44"/>
      <c r="BK56" s="44"/>
      <c r="BL56" s="44">
        <v>1347543</v>
      </c>
      <c r="BM56" s="44">
        <v>4145992</v>
      </c>
      <c r="BN56" s="124">
        <v>10485691</v>
      </c>
      <c r="BO56" s="124">
        <v>50913188</v>
      </c>
      <c r="BP56" s="44">
        <v>250821</v>
      </c>
      <c r="BQ56" s="44">
        <v>922661</v>
      </c>
      <c r="BR56" s="44">
        <f t="shared" si="8"/>
        <v>71809674.886999995</v>
      </c>
      <c r="BS56" s="44">
        <f t="shared" si="9"/>
        <v>283235302.46799999</v>
      </c>
    </row>
    <row r="58" spans="1:71" x14ac:dyDescent="0.25">
      <c r="A58" s="7" t="s">
        <v>144</v>
      </c>
    </row>
    <row r="59" spans="1:71" s="15" customFormat="1" x14ac:dyDescent="0.25">
      <c r="A59" s="23" t="s">
        <v>0</v>
      </c>
      <c r="B59" s="200" t="s">
        <v>1</v>
      </c>
      <c r="C59" s="200"/>
      <c r="D59" s="200" t="s">
        <v>2</v>
      </c>
      <c r="E59" s="200"/>
      <c r="F59" s="200" t="s">
        <v>3</v>
      </c>
      <c r="G59" s="200"/>
      <c r="H59" s="200" t="s">
        <v>4</v>
      </c>
      <c r="I59" s="200"/>
      <c r="J59" s="200" t="s">
        <v>5</v>
      </c>
      <c r="K59" s="200"/>
      <c r="L59" s="200" t="s">
        <v>6</v>
      </c>
      <c r="M59" s="200"/>
      <c r="N59" s="200" t="s">
        <v>7</v>
      </c>
      <c r="O59" s="200"/>
      <c r="P59" s="200" t="s">
        <v>8</v>
      </c>
      <c r="Q59" s="200"/>
      <c r="R59" s="200" t="s">
        <v>9</v>
      </c>
      <c r="S59" s="200"/>
      <c r="T59" s="200" t="s">
        <v>10</v>
      </c>
      <c r="U59" s="200"/>
      <c r="V59" s="200" t="s">
        <v>11</v>
      </c>
      <c r="W59" s="200"/>
      <c r="X59" s="200" t="s">
        <v>12</v>
      </c>
      <c r="Y59" s="200"/>
      <c r="Z59" s="200" t="s">
        <v>13</v>
      </c>
      <c r="AA59" s="200"/>
      <c r="AB59" s="200" t="s">
        <v>14</v>
      </c>
      <c r="AC59" s="200"/>
      <c r="AD59" s="200" t="s">
        <v>15</v>
      </c>
      <c r="AE59" s="200"/>
      <c r="AF59" s="200" t="s">
        <v>16</v>
      </c>
      <c r="AG59" s="200"/>
      <c r="AH59" s="200" t="s">
        <v>17</v>
      </c>
      <c r="AI59" s="200"/>
      <c r="AJ59" s="200" t="s">
        <v>18</v>
      </c>
      <c r="AK59" s="200"/>
      <c r="AL59" s="200" t="s">
        <v>19</v>
      </c>
      <c r="AM59" s="200"/>
      <c r="AN59" s="200" t="s">
        <v>20</v>
      </c>
      <c r="AO59" s="200"/>
      <c r="AP59" s="200" t="s">
        <v>21</v>
      </c>
      <c r="AQ59" s="200"/>
      <c r="AR59" s="200" t="s">
        <v>147</v>
      </c>
      <c r="AS59" s="200"/>
      <c r="AT59" s="200" t="s">
        <v>148</v>
      </c>
      <c r="AU59" s="200"/>
      <c r="AV59" s="200" t="s">
        <v>22</v>
      </c>
      <c r="AW59" s="200"/>
      <c r="AX59" s="200" t="s">
        <v>23</v>
      </c>
      <c r="AY59" s="200"/>
      <c r="AZ59" s="200" t="s">
        <v>332</v>
      </c>
      <c r="BA59" s="200"/>
      <c r="BB59" s="200" t="s">
        <v>24</v>
      </c>
      <c r="BC59" s="200"/>
      <c r="BD59" s="200" t="s">
        <v>25</v>
      </c>
      <c r="BE59" s="200"/>
      <c r="BF59" s="200" t="s">
        <v>26</v>
      </c>
      <c r="BG59" s="200"/>
      <c r="BH59" s="200" t="s">
        <v>27</v>
      </c>
      <c r="BI59" s="200"/>
      <c r="BJ59" s="200" t="s">
        <v>28</v>
      </c>
      <c r="BK59" s="200"/>
      <c r="BL59" s="200" t="s">
        <v>29</v>
      </c>
      <c r="BM59" s="200"/>
      <c r="BN59" s="201" t="s">
        <v>30</v>
      </c>
      <c r="BO59" s="201"/>
      <c r="BP59" s="200" t="s">
        <v>31</v>
      </c>
      <c r="BQ59" s="200"/>
      <c r="BR59" s="200" t="s">
        <v>250</v>
      </c>
      <c r="BS59" s="200"/>
    </row>
    <row r="60" spans="1:71" s="42" customFormat="1" ht="44.25" customHeight="1" x14ac:dyDescent="0.25">
      <c r="A60" s="43"/>
      <c r="B60" s="43" t="s">
        <v>321</v>
      </c>
      <c r="C60" s="43" t="s">
        <v>322</v>
      </c>
      <c r="D60" s="43" t="s">
        <v>321</v>
      </c>
      <c r="E60" s="43" t="s">
        <v>322</v>
      </c>
      <c r="F60" s="43" t="s">
        <v>321</v>
      </c>
      <c r="G60" s="43" t="s">
        <v>322</v>
      </c>
      <c r="H60" s="43" t="s">
        <v>321</v>
      </c>
      <c r="I60" s="43" t="s">
        <v>322</v>
      </c>
      <c r="J60" s="43" t="s">
        <v>321</v>
      </c>
      <c r="K60" s="43" t="s">
        <v>322</v>
      </c>
      <c r="L60" s="43" t="s">
        <v>321</v>
      </c>
      <c r="M60" s="43" t="s">
        <v>322</v>
      </c>
      <c r="N60" s="43" t="s">
        <v>321</v>
      </c>
      <c r="O60" s="43" t="s">
        <v>322</v>
      </c>
      <c r="P60" s="43" t="s">
        <v>321</v>
      </c>
      <c r="Q60" s="43" t="s">
        <v>322</v>
      </c>
      <c r="R60" s="43" t="s">
        <v>321</v>
      </c>
      <c r="S60" s="43" t="s">
        <v>322</v>
      </c>
      <c r="T60" s="43" t="s">
        <v>321</v>
      </c>
      <c r="U60" s="43" t="s">
        <v>322</v>
      </c>
      <c r="V60" s="43" t="s">
        <v>321</v>
      </c>
      <c r="W60" s="43" t="s">
        <v>322</v>
      </c>
      <c r="X60" s="43" t="s">
        <v>321</v>
      </c>
      <c r="Y60" s="43" t="s">
        <v>322</v>
      </c>
      <c r="Z60" s="43" t="s">
        <v>321</v>
      </c>
      <c r="AA60" s="43" t="s">
        <v>322</v>
      </c>
      <c r="AB60" s="43" t="s">
        <v>321</v>
      </c>
      <c r="AC60" s="43" t="s">
        <v>322</v>
      </c>
      <c r="AD60" s="43" t="s">
        <v>321</v>
      </c>
      <c r="AE60" s="43" t="s">
        <v>322</v>
      </c>
      <c r="AF60" s="43" t="s">
        <v>321</v>
      </c>
      <c r="AG60" s="43" t="s">
        <v>322</v>
      </c>
      <c r="AH60" s="43" t="s">
        <v>321</v>
      </c>
      <c r="AI60" s="43" t="s">
        <v>322</v>
      </c>
      <c r="AJ60" s="43" t="s">
        <v>321</v>
      </c>
      <c r="AK60" s="43" t="s">
        <v>322</v>
      </c>
      <c r="AL60" s="43" t="s">
        <v>321</v>
      </c>
      <c r="AM60" s="43" t="s">
        <v>322</v>
      </c>
      <c r="AN60" s="43" t="s">
        <v>321</v>
      </c>
      <c r="AO60" s="43" t="s">
        <v>322</v>
      </c>
      <c r="AP60" s="43" t="s">
        <v>321</v>
      </c>
      <c r="AQ60" s="43" t="s">
        <v>322</v>
      </c>
      <c r="AR60" s="43" t="s">
        <v>321</v>
      </c>
      <c r="AS60" s="43" t="s">
        <v>322</v>
      </c>
      <c r="AT60" s="43" t="s">
        <v>321</v>
      </c>
      <c r="AU60" s="43" t="s">
        <v>322</v>
      </c>
      <c r="AV60" s="43" t="s">
        <v>321</v>
      </c>
      <c r="AW60" s="43" t="s">
        <v>322</v>
      </c>
      <c r="AX60" s="43" t="s">
        <v>321</v>
      </c>
      <c r="AY60" s="43" t="s">
        <v>322</v>
      </c>
      <c r="AZ60" s="43" t="s">
        <v>321</v>
      </c>
      <c r="BA60" s="43" t="s">
        <v>322</v>
      </c>
      <c r="BB60" s="43" t="s">
        <v>321</v>
      </c>
      <c r="BC60" s="43" t="s">
        <v>322</v>
      </c>
      <c r="BD60" s="111" t="s">
        <v>321</v>
      </c>
      <c r="BE60" s="118" t="s">
        <v>322</v>
      </c>
      <c r="BF60" s="43" t="s">
        <v>321</v>
      </c>
      <c r="BG60" s="43" t="s">
        <v>322</v>
      </c>
      <c r="BH60" s="43" t="s">
        <v>321</v>
      </c>
      <c r="BI60" s="43" t="s">
        <v>322</v>
      </c>
      <c r="BJ60" s="43" t="s">
        <v>321</v>
      </c>
      <c r="BK60" s="43" t="s">
        <v>322</v>
      </c>
      <c r="BL60" s="43" t="s">
        <v>321</v>
      </c>
      <c r="BM60" s="43" t="s">
        <v>322</v>
      </c>
      <c r="BN60" s="183" t="s">
        <v>321</v>
      </c>
      <c r="BO60" s="183" t="s">
        <v>322</v>
      </c>
      <c r="BP60" s="43" t="s">
        <v>321</v>
      </c>
      <c r="BQ60" s="43" t="s">
        <v>322</v>
      </c>
      <c r="BR60" s="43" t="s">
        <v>321</v>
      </c>
      <c r="BS60" s="43" t="s">
        <v>322</v>
      </c>
    </row>
    <row r="61" spans="1:71" x14ac:dyDescent="0.25">
      <c r="A61" s="107" t="s">
        <v>68</v>
      </c>
      <c r="B61" s="44">
        <v>1635</v>
      </c>
      <c r="C61" s="44">
        <v>1635</v>
      </c>
      <c r="D61" s="44">
        <v>21963</v>
      </c>
      <c r="E61" s="44">
        <v>37797</v>
      </c>
      <c r="F61" s="44"/>
      <c r="G61" s="44"/>
      <c r="H61" s="44">
        <v>68731</v>
      </c>
      <c r="I61" s="44">
        <v>234672</v>
      </c>
      <c r="J61" s="45">
        <v>286592</v>
      </c>
      <c r="K61" s="44">
        <v>885709</v>
      </c>
      <c r="L61" s="44">
        <v>27405</v>
      </c>
      <c r="M61" s="44">
        <v>113864</v>
      </c>
      <c r="N61" s="44">
        <v>191731</v>
      </c>
      <c r="O61" s="44">
        <v>642738</v>
      </c>
      <c r="P61" s="44">
        <v>1706</v>
      </c>
      <c r="Q61" s="44">
        <v>8485</v>
      </c>
      <c r="R61" s="44">
        <v>2640</v>
      </c>
      <c r="S61" s="44">
        <v>12747</v>
      </c>
      <c r="T61" s="44"/>
      <c r="U61" s="44"/>
      <c r="V61" s="44"/>
      <c r="W61" s="44"/>
      <c r="X61" s="44">
        <v>81382</v>
      </c>
      <c r="Y61" s="44">
        <v>370179</v>
      </c>
      <c r="Z61" s="44"/>
      <c r="AA61" s="44"/>
      <c r="AB61" s="44">
        <v>513082</v>
      </c>
      <c r="AC61" s="44">
        <v>1675395</v>
      </c>
      <c r="AD61" s="44">
        <v>308499</v>
      </c>
      <c r="AE61" s="44">
        <v>1049435</v>
      </c>
      <c r="AF61" s="44">
        <v>465523</v>
      </c>
      <c r="AG61" s="44">
        <v>996256</v>
      </c>
      <c r="AH61" s="44">
        <v>1696</v>
      </c>
      <c r="AI61" s="44">
        <v>9049</v>
      </c>
      <c r="AJ61" s="44">
        <v>21727</v>
      </c>
      <c r="AK61" s="44">
        <v>94915</v>
      </c>
      <c r="AL61" s="44">
        <v>3158</v>
      </c>
      <c r="AM61" s="44">
        <v>9579</v>
      </c>
      <c r="AN61" s="44">
        <v>4267</v>
      </c>
      <c r="AO61" s="44">
        <v>12672</v>
      </c>
      <c r="AP61" s="44">
        <v>1150029.3070000003</v>
      </c>
      <c r="AQ61" s="44">
        <v>3189411.7170000002</v>
      </c>
      <c r="AR61" s="44">
        <v>1946067</v>
      </c>
      <c r="AS61" s="44">
        <v>6518640</v>
      </c>
      <c r="AT61" s="44">
        <v>2292510</v>
      </c>
      <c r="AU61" s="44">
        <v>5812705</v>
      </c>
      <c r="AV61" s="44">
        <v>74</v>
      </c>
      <c r="AW61" s="44">
        <v>101</v>
      </c>
      <c r="AX61" s="44">
        <v>61412</v>
      </c>
      <c r="AY61" s="44">
        <v>229760</v>
      </c>
      <c r="AZ61" s="44"/>
      <c r="BA61" s="44"/>
      <c r="BB61" s="44">
        <v>41563</v>
      </c>
      <c r="BC61" s="44">
        <v>122012</v>
      </c>
      <c r="BD61" s="112">
        <v>52710</v>
      </c>
      <c r="BE61" s="112">
        <v>230712</v>
      </c>
      <c r="BF61" s="44">
        <v>668442</v>
      </c>
      <c r="BG61" s="44">
        <v>2047771</v>
      </c>
      <c r="BH61" s="44">
        <v>20899</v>
      </c>
      <c r="BI61" s="44">
        <v>63203</v>
      </c>
      <c r="BJ61" s="44"/>
      <c r="BK61" s="44"/>
      <c r="BL61" s="44">
        <v>223399</v>
      </c>
      <c r="BM61" s="44">
        <v>824384</v>
      </c>
      <c r="BN61" s="124">
        <v>1005724</v>
      </c>
      <c r="BO61" s="124">
        <v>2458490</v>
      </c>
      <c r="BP61" s="44">
        <v>119379</v>
      </c>
      <c r="BQ61" s="44">
        <v>372145</v>
      </c>
      <c r="BR61" s="44">
        <f t="shared" ref="BR61:BR67" si="10">B61+D61+F61+H61+J61+L61+N61+P61+R61+T61+V61+X61+Z61+AB61+AD61+AF61+AH61+AJ61+AL61+AN61+AP61+AR61+AT61+AV61+AX61+BB61+BD61+BF61+BH61+BJ61+BL61+BN61+BP61</f>
        <v>9583945.307</v>
      </c>
      <c r="BS61" s="44">
        <f t="shared" ref="BS61:BS67" si="11">C61+E61+G61+I61+K61+M61+O61+Q61+S61+U61+W61+Y61+AA61+AC61+AE61+AG61+AI61+AK61+AM61+AO61+AQ61+AS61+AU61+AW61+AY61+BC61+BE61+BG61+BI61+BK61+BM61+BO61+BQ61</f>
        <v>28024461.717</v>
      </c>
    </row>
    <row r="62" spans="1:71" x14ac:dyDescent="0.25">
      <c r="A62" s="107" t="s">
        <v>342</v>
      </c>
      <c r="B62" s="44"/>
      <c r="C62" s="44"/>
      <c r="D62" s="44"/>
      <c r="E62" s="44"/>
      <c r="F62" s="44"/>
      <c r="G62" s="44"/>
      <c r="H62" s="44"/>
      <c r="I62" s="44"/>
      <c r="K62" s="44"/>
      <c r="L62" s="44"/>
      <c r="M62" s="44"/>
      <c r="N62" s="44"/>
      <c r="O62" s="44"/>
      <c r="P62" s="44"/>
      <c r="Q62" s="44"/>
      <c r="R62" s="44"/>
      <c r="S62" s="44"/>
      <c r="T62" s="44">
        <v>2665</v>
      </c>
      <c r="U62" s="44">
        <v>2665</v>
      </c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>
        <v>0</v>
      </c>
      <c r="AQ62" s="44">
        <v>0</v>
      </c>
      <c r="AR62" s="44"/>
      <c r="AS62" s="44"/>
      <c r="AT62" s="44">
        <v>4</v>
      </c>
      <c r="AU62" s="44">
        <v>556</v>
      </c>
      <c r="AV62" s="44"/>
      <c r="AW62" s="44">
        <v>31</v>
      </c>
      <c r="AX62" s="44"/>
      <c r="AY62" s="44"/>
      <c r="AZ62" s="44"/>
      <c r="BA62" s="44"/>
      <c r="BB62" s="44"/>
      <c r="BC62" s="44"/>
      <c r="BD62" s="51">
        <v>42202</v>
      </c>
      <c r="BE62" s="51">
        <v>42202</v>
      </c>
      <c r="BF62" s="44"/>
      <c r="BG62" s="44"/>
      <c r="BH62" s="44"/>
      <c r="BI62" s="44"/>
      <c r="BJ62" s="44"/>
      <c r="BK62" s="44"/>
      <c r="BL62" s="44"/>
      <c r="BM62" s="44"/>
      <c r="BN62" s="124">
        <v>174</v>
      </c>
      <c r="BO62" s="124">
        <v>1832</v>
      </c>
      <c r="BP62" s="44"/>
      <c r="BQ62" s="44"/>
      <c r="BR62" s="44">
        <f t="shared" si="10"/>
        <v>45045</v>
      </c>
      <c r="BS62" s="44">
        <f t="shared" si="11"/>
        <v>47286</v>
      </c>
    </row>
    <row r="63" spans="1:71" x14ac:dyDescent="0.25">
      <c r="A63" s="107" t="s">
        <v>343</v>
      </c>
      <c r="B63" s="44">
        <v>82</v>
      </c>
      <c r="C63" s="44">
        <v>82</v>
      </c>
      <c r="D63" s="44">
        <v>-162</v>
      </c>
      <c r="E63" s="44">
        <v>2879</v>
      </c>
      <c r="F63" s="44"/>
      <c r="G63" s="44"/>
      <c r="H63" s="44">
        <v>20193</v>
      </c>
      <c r="I63" s="44">
        <v>64944</v>
      </c>
      <c r="J63" s="45">
        <v>40494</v>
      </c>
      <c r="K63" s="44">
        <v>111520</v>
      </c>
      <c r="L63" s="44">
        <v>1378</v>
      </c>
      <c r="M63" s="44">
        <v>6364</v>
      </c>
      <c r="N63" s="44">
        <v>33027</v>
      </c>
      <c r="O63" s="44">
        <v>136508</v>
      </c>
      <c r="P63" s="44">
        <v>162</v>
      </c>
      <c r="Q63" s="44">
        <v>983</v>
      </c>
      <c r="R63" s="44"/>
      <c r="S63" s="44"/>
      <c r="T63" s="44">
        <v>702</v>
      </c>
      <c r="U63" s="44">
        <v>1871</v>
      </c>
      <c r="V63" s="44"/>
      <c r="W63" s="44"/>
      <c r="X63" s="44">
        <v>140357</v>
      </c>
      <c r="Y63" s="44">
        <v>163805</v>
      </c>
      <c r="Z63" s="44"/>
      <c r="AA63" s="44"/>
      <c r="AB63" s="44"/>
      <c r="AC63" s="44"/>
      <c r="AD63" s="44"/>
      <c r="AE63" s="44"/>
      <c r="AF63" s="44">
        <v>62138</v>
      </c>
      <c r="AG63" s="44">
        <v>123347</v>
      </c>
      <c r="AH63" s="44">
        <v>1429</v>
      </c>
      <c r="AI63" s="44">
        <v>6052</v>
      </c>
      <c r="AJ63" s="44">
        <v>4446</v>
      </c>
      <c r="AK63" s="44">
        <v>8106</v>
      </c>
      <c r="AL63" s="44"/>
      <c r="AM63" s="44"/>
      <c r="AN63" s="44">
        <v>8738</v>
      </c>
      <c r="AO63" s="44">
        <v>9802</v>
      </c>
      <c r="AP63" s="44">
        <v>57501.464999999997</v>
      </c>
      <c r="AQ63" s="44">
        <v>165163.78599999999</v>
      </c>
      <c r="AR63" s="44"/>
      <c r="AS63" s="44"/>
      <c r="AT63" s="44">
        <v>569767</v>
      </c>
      <c r="AU63" s="44">
        <v>913201</v>
      </c>
      <c r="AV63" s="44">
        <v>56</v>
      </c>
      <c r="AW63" s="44">
        <v>58</v>
      </c>
      <c r="AX63" s="44">
        <v>7158</v>
      </c>
      <c r="AY63" s="44">
        <v>54254</v>
      </c>
      <c r="AZ63" s="44"/>
      <c r="BA63" s="44"/>
      <c r="BB63" s="44"/>
      <c r="BC63" s="44"/>
      <c r="BD63" s="51">
        <v>-31412</v>
      </c>
      <c r="BE63" s="51">
        <v>-60660</v>
      </c>
      <c r="BF63" s="44">
        <v>34220</v>
      </c>
      <c r="BG63" s="44">
        <v>108988</v>
      </c>
      <c r="BH63" s="44">
        <v>18193</v>
      </c>
      <c r="BI63" s="44">
        <v>55347</v>
      </c>
      <c r="BJ63" s="44"/>
      <c r="BK63" s="44"/>
      <c r="BL63" s="44">
        <v>17428</v>
      </c>
      <c r="BM63" s="44">
        <v>91388</v>
      </c>
      <c r="BN63" s="124">
        <v>382547</v>
      </c>
      <c r="BO63" s="124">
        <v>588123</v>
      </c>
      <c r="BP63" s="44">
        <v>25959</v>
      </c>
      <c r="BQ63" s="44">
        <v>78614</v>
      </c>
      <c r="BR63" s="44">
        <f t="shared" si="10"/>
        <v>1394401.4649999999</v>
      </c>
      <c r="BS63" s="44">
        <f t="shared" si="11"/>
        <v>2630739.7859999998</v>
      </c>
    </row>
    <row r="64" spans="1:71" x14ac:dyDescent="0.25">
      <c r="A64" s="107" t="s">
        <v>344</v>
      </c>
      <c r="B64" s="44"/>
      <c r="C64" s="44"/>
      <c r="D64" s="44"/>
      <c r="E64" s="44"/>
      <c r="F64" s="44"/>
      <c r="G64" s="44"/>
      <c r="H64" s="44"/>
      <c r="I64" s="44"/>
      <c r="J64" s="45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51"/>
      <c r="BE64" s="51"/>
      <c r="BF64" s="44"/>
      <c r="BG64" s="44"/>
      <c r="BH64" s="44"/>
      <c r="BI64" s="44"/>
      <c r="BJ64" s="44"/>
      <c r="BK64" s="44"/>
      <c r="BL64" s="44"/>
      <c r="BM64" s="44"/>
      <c r="BN64" s="124"/>
      <c r="BO64" s="124"/>
      <c r="BP64" s="44"/>
      <c r="BQ64" s="44"/>
      <c r="BR64" s="44">
        <f t="shared" si="10"/>
        <v>0</v>
      </c>
      <c r="BS64" s="44">
        <f t="shared" si="11"/>
        <v>0</v>
      </c>
    </row>
    <row r="65" spans="1:71" ht="15" customHeight="1" x14ac:dyDescent="0.25">
      <c r="A65" s="107" t="s">
        <v>345</v>
      </c>
      <c r="B65" s="44">
        <v>9267</v>
      </c>
      <c r="C65" s="44">
        <v>9267</v>
      </c>
      <c r="D65" s="44">
        <v>97989</v>
      </c>
      <c r="E65" s="44">
        <v>97989</v>
      </c>
      <c r="F65" s="44"/>
      <c r="G65" s="44"/>
      <c r="H65" s="44">
        <v>114387</v>
      </c>
      <c r="I65" s="44">
        <v>114387</v>
      </c>
      <c r="J65" s="45">
        <v>87795</v>
      </c>
      <c r="K65" s="44">
        <v>773377</v>
      </c>
      <c r="L65" s="44">
        <v>17455</v>
      </c>
      <c r="M65" s="44">
        <v>139306</v>
      </c>
      <c r="N65" s="44">
        <v>7165</v>
      </c>
      <c r="O65" s="44">
        <v>312509</v>
      </c>
      <c r="P65" s="44">
        <v>59940</v>
      </c>
      <c r="Q65" s="44">
        <v>59940</v>
      </c>
      <c r="R65" s="44"/>
      <c r="S65" s="44"/>
      <c r="T65" s="44">
        <v>20342</v>
      </c>
      <c r="U65" s="44">
        <v>20342</v>
      </c>
      <c r="V65" s="44"/>
      <c r="W65" s="44"/>
      <c r="X65" s="44">
        <v>313622</v>
      </c>
      <c r="Y65" s="44">
        <v>313622</v>
      </c>
      <c r="Z65" s="44">
        <v>28</v>
      </c>
      <c r="AA65" s="44">
        <v>28</v>
      </c>
      <c r="AB65" s="44">
        <v>856769</v>
      </c>
      <c r="AC65" s="44">
        <v>856769</v>
      </c>
      <c r="AD65" s="44">
        <v>3979743</v>
      </c>
      <c r="AE65" s="44">
        <v>3979743</v>
      </c>
      <c r="AF65" s="44">
        <v>-336659</v>
      </c>
      <c r="AG65" s="44">
        <v>599720</v>
      </c>
      <c r="AH65" s="44">
        <v>9777</v>
      </c>
      <c r="AI65" s="44">
        <v>9777</v>
      </c>
      <c r="AJ65" s="44">
        <v>138951</v>
      </c>
      <c r="AK65" s="44">
        <v>138951</v>
      </c>
      <c r="AL65" s="44">
        <v>60780</v>
      </c>
      <c r="AM65" s="44">
        <v>60780</v>
      </c>
      <c r="AN65" s="44">
        <v>98300</v>
      </c>
      <c r="AO65" s="44">
        <v>98300</v>
      </c>
      <c r="AP65" s="44">
        <v>-405588.95000000007</v>
      </c>
      <c r="AQ65" s="44">
        <v>2409136.4869999997</v>
      </c>
      <c r="AR65" s="44">
        <v>3967370</v>
      </c>
      <c r="AS65" s="44">
        <v>3967370</v>
      </c>
      <c r="AT65" s="44">
        <v>-176525</v>
      </c>
      <c r="AU65" s="44">
        <v>4413669</v>
      </c>
      <c r="AV65" s="44">
        <v>-93</v>
      </c>
      <c r="AW65" s="44">
        <v>686</v>
      </c>
      <c r="AX65" s="44">
        <v>345153</v>
      </c>
      <c r="AY65" s="44">
        <v>345153</v>
      </c>
      <c r="AZ65" s="44"/>
      <c r="BA65" s="44"/>
      <c r="BB65" s="44"/>
      <c r="BC65" s="44"/>
      <c r="BD65" s="51">
        <v>-10739</v>
      </c>
      <c r="BE65" s="51">
        <v>267664</v>
      </c>
      <c r="BF65" s="44">
        <v>3724563</v>
      </c>
      <c r="BG65" s="44">
        <v>3724563</v>
      </c>
      <c r="BH65" s="44">
        <v>40341</v>
      </c>
      <c r="BI65" s="44">
        <v>40341</v>
      </c>
      <c r="BJ65" s="44"/>
      <c r="BK65" s="44"/>
      <c r="BL65" s="44">
        <v>738771</v>
      </c>
      <c r="BM65" s="44">
        <v>738771</v>
      </c>
      <c r="BN65" s="124">
        <v>1875578</v>
      </c>
      <c r="BO65" s="124">
        <v>1875578</v>
      </c>
      <c r="BP65" s="44">
        <v>31765</v>
      </c>
      <c r="BQ65" s="44">
        <v>205908</v>
      </c>
      <c r="BR65" s="44">
        <f t="shared" si="10"/>
        <v>15666246.050000001</v>
      </c>
      <c r="BS65" s="44">
        <f t="shared" si="11"/>
        <v>25573646.487</v>
      </c>
    </row>
    <row r="66" spans="1:71" ht="15" customHeight="1" x14ac:dyDescent="0.25">
      <c r="A66" s="107" t="s">
        <v>346</v>
      </c>
      <c r="B66" s="44">
        <v>4406</v>
      </c>
      <c r="C66" s="44"/>
      <c r="D66" s="44">
        <v>63068</v>
      </c>
      <c r="E66" s="44">
        <v>8278</v>
      </c>
      <c r="F66" s="44"/>
      <c r="G66" s="44"/>
      <c r="H66" s="44">
        <v>102411</v>
      </c>
      <c r="I66" s="44">
        <v>83856</v>
      </c>
      <c r="J66" s="45"/>
      <c r="K66" s="44">
        <v>543665</v>
      </c>
      <c r="L66" s="44"/>
      <c r="M66" s="44">
        <v>101658</v>
      </c>
      <c r="N66" s="44"/>
      <c r="O66" s="44">
        <v>234133</v>
      </c>
      <c r="P66" s="44">
        <v>52820</v>
      </c>
      <c r="Q66" s="44">
        <v>37850</v>
      </c>
      <c r="R66" s="44"/>
      <c r="S66" s="44"/>
      <c r="T66" s="44">
        <v>16068</v>
      </c>
      <c r="U66" s="44"/>
      <c r="V66" s="44"/>
      <c r="W66" s="44"/>
      <c r="X66" s="44">
        <v>174308</v>
      </c>
      <c r="Y66" s="44">
        <v>343768</v>
      </c>
      <c r="Z66" s="44"/>
      <c r="AA66" s="44"/>
      <c r="AB66" s="44">
        <v>-1224889</v>
      </c>
      <c r="AC66" s="44">
        <v>-833276</v>
      </c>
      <c r="AD66" s="44">
        <v>4135108</v>
      </c>
      <c r="AE66" s="44">
        <v>3486518</v>
      </c>
      <c r="AF66" s="44"/>
      <c r="AG66" s="44">
        <v>342306</v>
      </c>
      <c r="AH66" s="44">
        <v>8498</v>
      </c>
      <c r="AI66" s="44">
        <v>9312</v>
      </c>
      <c r="AJ66" s="44">
        <v>124080</v>
      </c>
      <c r="AK66" s="44">
        <v>128438</v>
      </c>
      <c r="AL66" s="44">
        <v>-54852</v>
      </c>
      <c r="AM66" s="44">
        <v>-26363</v>
      </c>
      <c r="AN66" s="44">
        <v>65264</v>
      </c>
      <c r="AO66" s="44">
        <v>31491</v>
      </c>
      <c r="AP66" s="44">
        <v>686938.89200000011</v>
      </c>
      <c r="AQ66" s="44">
        <v>3653200.4759999998</v>
      </c>
      <c r="AR66" s="44">
        <v>2771153</v>
      </c>
      <c r="AS66" s="44">
        <v>1884296</v>
      </c>
      <c r="AT66" s="44">
        <v>0</v>
      </c>
      <c r="AU66" s="44">
        <v>3340485</v>
      </c>
      <c r="AV66" s="44"/>
      <c r="AW66" s="44">
        <v>715</v>
      </c>
      <c r="AX66" s="44">
        <v>333747</v>
      </c>
      <c r="AY66" s="44">
        <v>369081</v>
      </c>
      <c r="AZ66" s="44"/>
      <c r="BA66" s="44"/>
      <c r="BB66" s="44"/>
      <c r="BC66" s="44"/>
      <c r="BD66" s="51"/>
      <c r="BE66" s="51">
        <v>-274846</v>
      </c>
      <c r="BF66" s="44">
        <v>3635858</v>
      </c>
      <c r="BG66" s="44">
        <v>3242647</v>
      </c>
      <c r="BH66" s="44">
        <v>40835</v>
      </c>
      <c r="BI66" s="44">
        <v>32539</v>
      </c>
      <c r="BJ66" s="44"/>
      <c r="BK66" s="44"/>
      <c r="BL66" s="44">
        <v>516842</v>
      </c>
      <c r="BM66" s="44">
        <v>432495</v>
      </c>
      <c r="BN66" s="124">
        <v>1787003</v>
      </c>
      <c r="BO66" s="124">
        <v>1655474</v>
      </c>
      <c r="BP66" s="44"/>
      <c r="BQ66" s="44">
        <v>192243</v>
      </c>
      <c r="BR66" s="44">
        <f t="shared" si="10"/>
        <v>13238666.892000001</v>
      </c>
      <c r="BS66" s="44">
        <f t="shared" si="11"/>
        <v>19019963.476</v>
      </c>
    </row>
    <row r="67" spans="1:71" x14ac:dyDescent="0.25">
      <c r="A67" s="107" t="s">
        <v>347</v>
      </c>
      <c r="B67" s="44">
        <v>6414</v>
      </c>
      <c r="C67" s="44">
        <v>10820</v>
      </c>
      <c r="D67" s="44">
        <v>57046</v>
      </c>
      <c r="E67" s="44">
        <v>124629</v>
      </c>
      <c r="F67" s="44"/>
      <c r="G67" s="44"/>
      <c r="H67" s="44">
        <v>60514</v>
      </c>
      <c r="I67" s="44">
        <v>200259</v>
      </c>
      <c r="J67" s="44">
        <v>333893</v>
      </c>
      <c r="K67" s="44">
        <v>1003901</v>
      </c>
      <c r="L67" s="44">
        <v>43482</v>
      </c>
      <c r="M67" s="44">
        <v>145148</v>
      </c>
      <c r="N67" s="44">
        <v>165869</v>
      </c>
      <c r="O67" s="44">
        <v>584606</v>
      </c>
      <c r="P67" s="44">
        <v>8663</v>
      </c>
      <c r="Q67" s="44">
        <v>29593</v>
      </c>
      <c r="R67" s="44">
        <v>1536</v>
      </c>
      <c r="S67" s="44">
        <v>14410</v>
      </c>
      <c r="T67" s="44">
        <v>6237</v>
      </c>
      <c r="U67" s="44">
        <v>21136</v>
      </c>
      <c r="V67" s="44"/>
      <c r="W67" s="44"/>
      <c r="X67" s="44">
        <v>80339</v>
      </c>
      <c r="Y67" s="44">
        <v>176228</v>
      </c>
      <c r="Z67" s="44">
        <v>28</v>
      </c>
      <c r="AA67" s="44">
        <v>28</v>
      </c>
      <c r="AB67" s="44">
        <v>68003</v>
      </c>
      <c r="AC67" s="44">
        <v>1191921</v>
      </c>
      <c r="AD67" s="44">
        <v>250151</v>
      </c>
      <c r="AE67" s="44">
        <v>1131116</v>
      </c>
      <c r="AF67" s="44">
        <v>66726</v>
      </c>
      <c r="AG67" s="44">
        <v>1130323</v>
      </c>
      <c r="AH67" s="44">
        <v>1546</v>
      </c>
      <c r="AI67" s="44">
        <v>3462</v>
      </c>
      <c r="AJ67" s="44">
        <v>36436</v>
      </c>
      <c r="AK67" s="44">
        <v>99021</v>
      </c>
      <c r="AL67" s="44">
        <v>14270</v>
      </c>
      <c r="AM67" s="44">
        <v>47942</v>
      </c>
      <c r="AN67" s="44">
        <v>28566</v>
      </c>
      <c r="AO67" s="44">
        <v>69679</v>
      </c>
      <c r="AP67" s="44">
        <v>686938.89200000011</v>
      </c>
      <c r="AQ67" s="44">
        <v>3653200.4759999998</v>
      </c>
      <c r="AR67" s="44">
        <v>2996464</v>
      </c>
      <c r="AS67" s="44">
        <v>8217452</v>
      </c>
      <c r="AT67" s="44">
        <v>1546222</v>
      </c>
      <c r="AU67" s="44">
        <v>5973243</v>
      </c>
      <c r="AV67" s="44">
        <v>-75</v>
      </c>
      <c r="AW67" s="44">
        <v>45</v>
      </c>
      <c r="AX67" s="44">
        <v>65660</v>
      </c>
      <c r="AY67" s="44">
        <v>169323</v>
      </c>
      <c r="AZ67" s="44"/>
      <c r="BA67" s="44"/>
      <c r="BB67" s="44">
        <v>73147</v>
      </c>
      <c r="BC67" s="44">
        <v>205653</v>
      </c>
      <c r="BD67" s="44">
        <v>67251</v>
      </c>
      <c r="BE67" s="44">
        <v>212318</v>
      </c>
      <c r="BF67" s="44">
        <v>722928</v>
      </c>
      <c r="BG67" s="44">
        <v>2420699</v>
      </c>
      <c r="BH67" s="44">
        <v>2212</v>
      </c>
      <c r="BI67" s="44">
        <v>15658</v>
      </c>
      <c r="BJ67" s="44"/>
      <c r="BK67" s="44"/>
      <c r="BL67" s="44">
        <v>427900</v>
      </c>
      <c r="BM67" s="44">
        <v>1039272</v>
      </c>
      <c r="BN67" s="124">
        <v>711926</v>
      </c>
      <c r="BO67" s="124">
        <v>2092303</v>
      </c>
      <c r="BP67" s="44">
        <v>125185</v>
      </c>
      <c r="BQ67" s="44">
        <v>307196</v>
      </c>
      <c r="BR67" s="44">
        <f t="shared" si="10"/>
        <v>8655477.8920000009</v>
      </c>
      <c r="BS67" s="44">
        <f t="shared" si="11"/>
        <v>30290584.476</v>
      </c>
    </row>
    <row r="69" spans="1:71" x14ac:dyDescent="0.25">
      <c r="A69" s="7" t="s">
        <v>205</v>
      </c>
    </row>
    <row r="70" spans="1:71" s="15" customFormat="1" x14ac:dyDescent="0.25">
      <c r="A70" s="23" t="s">
        <v>0</v>
      </c>
      <c r="B70" s="200" t="s">
        <v>1</v>
      </c>
      <c r="C70" s="200"/>
      <c r="D70" s="200" t="s">
        <v>2</v>
      </c>
      <c r="E70" s="200"/>
      <c r="F70" s="200" t="s">
        <v>3</v>
      </c>
      <c r="G70" s="200"/>
      <c r="H70" s="200" t="s">
        <v>4</v>
      </c>
      <c r="I70" s="200"/>
      <c r="J70" s="200" t="s">
        <v>5</v>
      </c>
      <c r="K70" s="200"/>
      <c r="L70" s="200" t="s">
        <v>6</v>
      </c>
      <c r="M70" s="200"/>
      <c r="N70" s="200" t="s">
        <v>7</v>
      </c>
      <c r="O70" s="200"/>
      <c r="P70" s="200" t="s">
        <v>8</v>
      </c>
      <c r="Q70" s="200"/>
      <c r="R70" s="200" t="s">
        <v>9</v>
      </c>
      <c r="S70" s="200"/>
      <c r="T70" s="200" t="s">
        <v>10</v>
      </c>
      <c r="U70" s="200"/>
      <c r="V70" s="200" t="s">
        <v>11</v>
      </c>
      <c r="W70" s="200"/>
      <c r="X70" s="200" t="s">
        <v>12</v>
      </c>
      <c r="Y70" s="200"/>
      <c r="Z70" s="200" t="s">
        <v>13</v>
      </c>
      <c r="AA70" s="200"/>
      <c r="AB70" s="200" t="s">
        <v>14</v>
      </c>
      <c r="AC70" s="200"/>
      <c r="AD70" s="200" t="s">
        <v>15</v>
      </c>
      <c r="AE70" s="200"/>
      <c r="AF70" s="200" t="s">
        <v>16</v>
      </c>
      <c r="AG70" s="200"/>
      <c r="AH70" s="200" t="s">
        <v>17</v>
      </c>
      <c r="AI70" s="200"/>
      <c r="AJ70" s="200" t="s">
        <v>18</v>
      </c>
      <c r="AK70" s="200"/>
      <c r="AL70" s="200" t="s">
        <v>19</v>
      </c>
      <c r="AM70" s="200"/>
      <c r="AN70" s="200" t="s">
        <v>20</v>
      </c>
      <c r="AO70" s="200"/>
      <c r="AP70" s="200" t="s">
        <v>21</v>
      </c>
      <c r="AQ70" s="200"/>
      <c r="AR70" s="200" t="s">
        <v>147</v>
      </c>
      <c r="AS70" s="200"/>
      <c r="AT70" s="200" t="s">
        <v>148</v>
      </c>
      <c r="AU70" s="200"/>
      <c r="AV70" s="200" t="s">
        <v>22</v>
      </c>
      <c r="AW70" s="200"/>
      <c r="AX70" s="200" t="s">
        <v>23</v>
      </c>
      <c r="AY70" s="200"/>
      <c r="AZ70" s="200" t="s">
        <v>332</v>
      </c>
      <c r="BA70" s="200"/>
      <c r="BB70" s="200" t="s">
        <v>24</v>
      </c>
      <c r="BC70" s="200"/>
      <c r="BD70" s="200" t="s">
        <v>25</v>
      </c>
      <c r="BE70" s="200"/>
      <c r="BF70" s="200" t="s">
        <v>26</v>
      </c>
      <c r="BG70" s="200"/>
      <c r="BH70" s="200" t="s">
        <v>27</v>
      </c>
      <c r="BI70" s="200"/>
      <c r="BJ70" s="200" t="s">
        <v>28</v>
      </c>
      <c r="BK70" s="200"/>
      <c r="BL70" s="200" t="s">
        <v>29</v>
      </c>
      <c r="BM70" s="200"/>
      <c r="BN70" s="201" t="s">
        <v>30</v>
      </c>
      <c r="BO70" s="201"/>
      <c r="BP70" s="200" t="s">
        <v>31</v>
      </c>
      <c r="BQ70" s="200"/>
      <c r="BR70" s="200" t="s">
        <v>250</v>
      </c>
      <c r="BS70" s="200"/>
    </row>
    <row r="71" spans="1:71" s="42" customFormat="1" ht="44.25" customHeight="1" x14ac:dyDescent="0.25">
      <c r="A71" s="43"/>
      <c r="B71" s="43" t="s">
        <v>321</v>
      </c>
      <c r="C71" s="43" t="s">
        <v>322</v>
      </c>
      <c r="D71" s="43" t="s">
        <v>321</v>
      </c>
      <c r="E71" s="43" t="s">
        <v>322</v>
      </c>
      <c r="F71" s="43" t="s">
        <v>321</v>
      </c>
      <c r="G71" s="43" t="s">
        <v>322</v>
      </c>
      <c r="H71" s="43" t="s">
        <v>321</v>
      </c>
      <c r="I71" s="43" t="s">
        <v>322</v>
      </c>
      <c r="J71" s="43" t="s">
        <v>321</v>
      </c>
      <c r="K71" s="43" t="s">
        <v>322</v>
      </c>
      <c r="L71" s="43" t="s">
        <v>321</v>
      </c>
      <c r="M71" s="43" t="s">
        <v>322</v>
      </c>
      <c r="N71" s="43" t="s">
        <v>321</v>
      </c>
      <c r="O71" s="43" t="s">
        <v>322</v>
      </c>
      <c r="P71" s="43" t="s">
        <v>321</v>
      </c>
      <c r="Q71" s="43" t="s">
        <v>322</v>
      </c>
      <c r="R71" s="43" t="s">
        <v>321</v>
      </c>
      <c r="S71" s="43" t="s">
        <v>322</v>
      </c>
      <c r="T71" s="43" t="s">
        <v>321</v>
      </c>
      <c r="U71" s="43" t="s">
        <v>322</v>
      </c>
      <c r="V71" s="43" t="s">
        <v>321</v>
      </c>
      <c r="W71" s="43" t="s">
        <v>322</v>
      </c>
      <c r="X71" s="43" t="s">
        <v>321</v>
      </c>
      <c r="Y71" s="43" t="s">
        <v>322</v>
      </c>
      <c r="Z71" s="43" t="s">
        <v>321</v>
      </c>
      <c r="AA71" s="43" t="s">
        <v>322</v>
      </c>
      <c r="AB71" s="43" t="s">
        <v>321</v>
      </c>
      <c r="AC71" s="43" t="s">
        <v>322</v>
      </c>
      <c r="AD71" s="43" t="s">
        <v>321</v>
      </c>
      <c r="AE71" s="43" t="s">
        <v>322</v>
      </c>
      <c r="AF71" s="43" t="s">
        <v>321</v>
      </c>
      <c r="AG71" s="43" t="s">
        <v>322</v>
      </c>
      <c r="AH71" s="43" t="s">
        <v>321</v>
      </c>
      <c r="AI71" s="43" t="s">
        <v>322</v>
      </c>
      <c r="AJ71" s="43" t="s">
        <v>321</v>
      </c>
      <c r="AK71" s="43" t="s">
        <v>322</v>
      </c>
      <c r="AL71" s="43" t="s">
        <v>321</v>
      </c>
      <c r="AM71" s="43" t="s">
        <v>322</v>
      </c>
      <c r="AN71" s="43" t="s">
        <v>321</v>
      </c>
      <c r="AO71" s="43" t="s">
        <v>322</v>
      </c>
      <c r="AP71" s="43" t="s">
        <v>321</v>
      </c>
      <c r="AQ71" s="43" t="s">
        <v>322</v>
      </c>
      <c r="AR71" s="43" t="s">
        <v>321</v>
      </c>
      <c r="AS71" s="43" t="s">
        <v>322</v>
      </c>
      <c r="AT71" s="43" t="s">
        <v>321</v>
      </c>
      <c r="AU71" s="43" t="s">
        <v>322</v>
      </c>
      <c r="AV71" s="43" t="s">
        <v>321</v>
      </c>
      <c r="AW71" s="43" t="s">
        <v>322</v>
      </c>
      <c r="AX71" s="43" t="s">
        <v>321</v>
      </c>
      <c r="AY71" s="43" t="s">
        <v>322</v>
      </c>
      <c r="AZ71" s="43" t="s">
        <v>321</v>
      </c>
      <c r="BA71" s="43" t="s">
        <v>322</v>
      </c>
      <c r="BB71" s="43" t="s">
        <v>321</v>
      </c>
      <c r="BC71" s="43" t="s">
        <v>322</v>
      </c>
      <c r="BD71" s="43" t="s">
        <v>321</v>
      </c>
      <c r="BE71" s="43" t="s">
        <v>322</v>
      </c>
      <c r="BF71" s="43" t="s">
        <v>321</v>
      </c>
      <c r="BG71" s="43" t="s">
        <v>322</v>
      </c>
      <c r="BH71" s="43" t="s">
        <v>321</v>
      </c>
      <c r="BI71" s="43" t="s">
        <v>322</v>
      </c>
      <c r="BJ71" s="43" t="s">
        <v>321</v>
      </c>
      <c r="BK71" s="43" t="s">
        <v>322</v>
      </c>
      <c r="BL71" s="43" t="s">
        <v>321</v>
      </c>
      <c r="BM71" s="43" t="s">
        <v>322</v>
      </c>
      <c r="BN71" s="183" t="s">
        <v>321</v>
      </c>
      <c r="BO71" s="183" t="s">
        <v>322</v>
      </c>
      <c r="BP71" s="43" t="s">
        <v>321</v>
      </c>
      <c r="BQ71" s="43" t="s">
        <v>322</v>
      </c>
      <c r="BR71" s="43" t="s">
        <v>321</v>
      </c>
      <c r="BS71" s="43" t="s">
        <v>322</v>
      </c>
    </row>
    <row r="72" spans="1:71" x14ac:dyDescent="0.25">
      <c r="A72" s="107" t="s">
        <v>68</v>
      </c>
      <c r="B72" s="44">
        <v>33618</v>
      </c>
      <c r="C72" s="44">
        <v>47220</v>
      </c>
      <c r="D72" s="44"/>
      <c r="E72" s="44"/>
      <c r="F72" s="44"/>
      <c r="G72" s="44"/>
      <c r="H72" s="44"/>
      <c r="I72" s="44"/>
      <c r="J72" s="123">
        <v>65940</v>
      </c>
      <c r="K72" s="44">
        <v>148672</v>
      </c>
      <c r="L72" s="44">
        <v>13555</v>
      </c>
      <c r="M72" s="44">
        <v>43496</v>
      </c>
      <c r="N72" s="44">
        <v>12641</v>
      </c>
      <c r="O72" s="44">
        <v>37646</v>
      </c>
      <c r="P72" s="44"/>
      <c r="Q72" s="44"/>
      <c r="R72" s="44"/>
      <c r="S72" s="44"/>
      <c r="T72" s="44"/>
      <c r="U72" s="44"/>
      <c r="V72" s="44"/>
      <c r="W72" s="44"/>
      <c r="X72" s="44">
        <v>3010</v>
      </c>
      <c r="Y72" s="44">
        <v>4797</v>
      </c>
      <c r="Z72" s="44"/>
      <c r="AA72" s="44"/>
      <c r="AB72" s="44">
        <f>3+38948</f>
        <v>38951</v>
      </c>
      <c r="AC72" s="44">
        <f>3+1152400</f>
        <v>1152403</v>
      </c>
      <c r="AD72" s="44">
        <v>16966</v>
      </c>
      <c r="AE72" s="44">
        <v>194270</v>
      </c>
      <c r="AF72" s="44">
        <v>3485</v>
      </c>
      <c r="AG72" s="44">
        <v>20735</v>
      </c>
      <c r="AH72" s="44"/>
      <c r="AI72" s="44"/>
      <c r="AJ72" s="44">
        <v>88</v>
      </c>
      <c r="AK72" s="44">
        <v>112</v>
      </c>
      <c r="AL72" s="44"/>
      <c r="AM72" s="44"/>
      <c r="AN72" s="44"/>
      <c r="AO72" s="44"/>
      <c r="AP72" s="44">
        <v>9718.5020000000004</v>
      </c>
      <c r="AQ72" s="44">
        <v>31587.494999999999</v>
      </c>
      <c r="AR72" s="44">
        <v>398348</v>
      </c>
      <c r="AS72" s="44">
        <v>1507209</v>
      </c>
      <c r="AT72" s="44">
        <v>15071</v>
      </c>
      <c r="AU72" s="44">
        <v>78722</v>
      </c>
      <c r="AV72" s="44">
        <v>4994</v>
      </c>
      <c r="AW72" s="44">
        <v>14536</v>
      </c>
      <c r="AX72" s="44">
        <f>8186+11706</f>
        <v>19892</v>
      </c>
      <c r="AY72" s="44">
        <f>11541+44192</f>
        <v>55733</v>
      </c>
      <c r="AZ72" s="44"/>
      <c r="BA72" s="44"/>
      <c r="BB72" s="44"/>
      <c r="BC72" s="44"/>
      <c r="BD72" s="51">
        <v>1896</v>
      </c>
      <c r="BE72" s="51">
        <v>3739</v>
      </c>
      <c r="BF72" s="44">
        <v>-273</v>
      </c>
      <c r="BG72" s="44">
        <v>-91</v>
      </c>
      <c r="BH72" s="44">
        <v>0</v>
      </c>
      <c r="BI72" s="44">
        <v>0</v>
      </c>
      <c r="BJ72" s="44"/>
      <c r="BK72" s="44"/>
      <c r="BL72" s="44">
        <v>124944</v>
      </c>
      <c r="BM72" s="44">
        <v>645098</v>
      </c>
      <c r="BN72" s="124">
        <v>34216</v>
      </c>
      <c r="BO72" s="124">
        <v>154971</v>
      </c>
      <c r="BP72" s="44"/>
      <c r="BQ72" s="44">
        <v>236</v>
      </c>
      <c r="BR72" s="44">
        <f t="shared" ref="BR72:BR78" si="12">B72+D72+F72+H72+J72+L72+N72+P72+R72+T72+V72+X72+Z72+AB72+AD72+AF72+AH72+AJ72+AL72+AN72+AP72+AR72+AT72+AV72+AX72+BB72+BD72+BF72+BH72+BJ72+BL72+BN72+BP72</f>
        <v>797060.50199999998</v>
      </c>
      <c r="BS72" s="44">
        <f t="shared" ref="BS72:BS78" si="13">C72+E72+G72+I72+K72+M72+O72+Q72+S72+U72+W72+Y72+AA72+AC72+AE72+AG72+AI72+AK72+AM72+AO72+AQ72+AS72+AU72+AW72+AY72+BC72+BE72+BG72+BI72+BK72+BM72+BO72+BQ72</f>
        <v>4141091.4950000001</v>
      </c>
    </row>
    <row r="73" spans="1:71" x14ac:dyDescent="0.25">
      <c r="A73" s="107" t="s">
        <v>342</v>
      </c>
      <c r="B73" s="44"/>
      <c r="C73" s="44"/>
      <c r="D73" s="44"/>
      <c r="E73" s="44"/>
      <c r="F73" s="44"/>
      <c r="G73" s="44"/>
      <c r="H73" s="44"/>
      <c r="I73" s="44"/>
      <c r="J73" s="123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>
        <v>0</v>
      </c>
      <c r="AQ73" s="44">
        <v>0</v>
      </c>
      <c r="AR73" s="44"/>
      <c r="AS73" s="44"/>
      <c r="AT73" s="44">
        <v>-1065</v>
      </c>
      <c r="AU73" s="44">
        <v>-4544</v>
      </c>
      <c r="AV73" s="44">
        <v>5094</v>
      </c>
      <c r="AW73" s="44">
        <v>5094</v>
      </c>
      <c r="AX73" s="44"/>
      <c r="AY73" s="44"/>
      <c r="AZ73" s="44"/>
      <c r="BA73" s="44"/>
      <c r="BB73" s="44"/>
      <c r="BC73" s="44"/>
      <c r="BD73" s="51"/>
      <c r="BE73" s="51"/>
      <c r="BF73" s="44"/>
      <c r="BG73" s="44"/>
      <c r="BH73" s="44"/>
      <c r="BI73" s="44"/>
      <c r="BJ73" s="44"/>
      <c r="BK73" s="44"/>
      <c r="BL73" s="44">
        <v>43759</v>
      </c>
      <c r="BM73" s="44">
        <v>57177</v>
      </c>
      <c r="BN73" s="124">
        <v>-3395</v>
      </c>
      <c r="BO73" s="124">
        <v>24815</v>
      </c>
      <c r="BP73" s="44"/>
      <c r="BQ73" s="44"/>
      <c r="BR73" s="44">
        <f t="shared" si="12"/>
        <v>44393</v>
      </c>
      <c r="BS73" s="44">
        <f t="shared" si="13"/>
        <v>82542</v>
      </c>
    </row>
    <row r="74" spans="1:71" x14ac:dyDescent="0.25">
      <c r="A74" s="107" t="s">
        <v>343</v>
      </c>
      <c r="B74" s="44">
        <v>21852</v>
      </c>
      <c r="C74" s="44">
        <v>30693</v>
      </c>
      <c r="D74" s="44"/>
      <c r="E74" s="44"/>
      <c r="F74" s="44"/>
      <c r="G74" s="44"/>
      <c r="H74" s="44"/>
      <c r="I74" s="44"/>
      <c r="J74" s="123">
        <v>64688</v>
      </c>
      <c r="K74" s="44">
        <v>146383</v>
      </c>
      <c r="L74" s="44">
        <v>8851</v>
      </c>
      <c r="M74" s="44">
        <v>20391</v>
      </c>
      <c r="N74" s="44">
        <v>9562</v>
      </c>
      <c r="O74" s="44">
        <v>29902</v>
      </c>
      <c r="P74" s="44"/>
      <c r="Q74" s="44"/>
      <c r="R74" s="44"/>
      <c r="S74" s="44"/>
      <c r="T74" s="44">
        <v>184</v>
      </c>
      <c r="U74" s="44">
        <v>869</v>
      </c>
      <c r="V74" s="44"/>
      <c r="W74" s="44"/>
      <c r="X74" s="44">
        <v>446</v>
      </c>
      <c r="Y74" s="44">
        <v>-790</v>
      </c>
      <c r="Z74" s="44"/>
      <c r="AA74" s="44"/>
      <c r="AB74" s="44"/>
      <c r="AC74" s="44"/>
      <c r="AD74" s="44"/>
      <c r="AE74" s="44"/>
      <c r="AF74" s="44">
        <v>216</v>
      </c>
      <c r="AG74" s="44">
        <v>6112</v>
      </c>
      <c r="AH74" s="44"/>
      <c r="AI74" s="44"/>
      <c r="AJ74" s="44">
        <v>4</v>
      </c>
      <c r="AK74" s="44">
        <v>4</v>
      </c>
      <c r="AL74" s="44"/>
      <c r="AM74" s="44"/>
      <c r="AN74" s="44"/>
      <c r="AO74" s="44"/>
      <c r="AP74" s="44">
        <v>485.92499999999995</v>
      </c>
      <c r="AQ74" s="44">
        <v>1579.375</v>
      </c>
      <c r="AR74" s="44"/>
      <c r="AS74" s="44"/>
      <c r="AT74" s="44">
        <v>21626</v>
      </c>
      <c r="AU74" s="44">
        <v>-7544</v>
      </c>
      <c r="AV74" s="44">
        <v>439</v>
      </c>
      <c r="AW74" s="44">
        <v>453</v>
      </c>
      <c r="AX74" s="44">
        <v>5778</v>
      </c>
      <c r="AY74" s="44">
        <v>5967</v>
      </c>
      <c r="AZ74" s="44"/>
      <c r="BA74" s="44"/>
      <c r="BB74" s="44"/>
      <c r="BC74" s="44"/>
      <c r="BD74" s="51">
        <v>-95</v>
      </c>
      <c r="BE74" s="51">
        <v>-187</v>
      </c>
      <c r="BF74" s="44">
        <v>-240</v>
      </c>
      <c r="BG74" s="44">
        <v>-81</v>
      </c>
      <c r="BH74" s="44"/>
      <c r="BI74" s="44"/>
      <c r="BJ74" s="44"/>
      <c r="BK74" s="44"/>
      <c r="BL74" s="44">
        <v>86584</v>
      </c>
      <c r="BM74" s="44">
        <v>299502</v>
      </c>
      <c r="BN74" s="124">
        <v>11136</v>
      </c>
      <c r="BO74" s="124">
        <v>39501</v>
      </c>
      <c r="BP74" s="44"/>
      <c r="BQ74" s="44">
        <v>12</v>
      </c>
      <c r="BR74" s="44">
        <f t="shared" si="12"/>
        <v>231516.92499999999</v>
      </c>
      <c r="BS74" s="44">
        <f t="shared" si="13"/>
        <v>572766.375</v>
      </c>
    </row>
    <row r="75" spans="1:71" x14ac:dyDescent="0.25">
      <c r="A75" s="107" t="s">
        <v>344</v>
      </c>
      <c r="B75" s="44"/>
      <c r="C75" s="44"/>
      <c r="D75" s="44"/>
      <c r="E75" s="44"/>
      <c r="F75" s="44"/>
      <c r="G75" s="44"/>
      <c r="H75" s="44"/>
      <c r="I75" s="44"/>
      <c r="J75" s="123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51"/>
      <c r="BE75" s="51"/>
      <c r="BF75" s="44"/>
      <c r="BG75" s="44"/>
      <c r="BH75" s="44"/>
      <c r="BI75" s="44"/>
      <c r="BJ75" s="44"/>
      <c r="BK75" s="44"/>
      <c r="BL75" s="44"/>
      <c r="BM75" s="44"/>
      <c r="BN75" s="124"/>
      <c r="BO75" s="124"/>
      <c r="BP75" s="44"/>
      <c r="BQ75" s="44"/>
      <c r="BR75" s="44">
        <f t="shared" si="12"/>
        <v>0</v>
      </c>
      <c r="BS75" s="44">
        <f t="shared" si="13"/>
        <v>0</v>
      </c>
    </row>
    <row r="76" spans="1:71" ht="15" customHeight="1" x14ac:dyDescent="0.25">
      <c r="A76" s="107" t="s">
        <v>345</v>
      </c>
      <c r="B76" s="44">
        <v>13255</v>
      </c>
      <c r="C76" s="44">
        <v>13255</v>
      </c>
      <c r="D76" s="44"/>
      <c r="E76" s="44"/>
      <c r="F76" s="44"/>
      <c r="G76" s="44"/>
      <c r="H76" s="44"/>
      <c r="I76" s="44"/>
      <c r="J76" s="123">
        <v>-47922</v>
      </c>
      <c r="K76" s="44">
        <v>82533</v>
      </c>
      <c r="L76" s="44">
        <v>16454</v>
      </c>
      <c r="M76" s="44">
        <v>153032</v>
      </c>
      <c r="N76" s="44">
        <v>-3459</v>
      </c>
      <c r="O76" s="44">
        <v>18578</v>
      </c>
      <c r="P76" s="44"/>
      <c r="Q76" s="44"/>
      <c r="R76" s="44"/>
      <c r="S76" s="44"/>
      <c r="T76" s="44">
        <v>932</v>
      </c>
      <c r="U76" s="44">
        <v>932</v>
      </c>
      <c r="V76" s="44"/>
      <c r="W76" s="44"/>
      <c r="X76" s="44">
        <v>16998</v>
      </c>
      <c r="Y76" s="44">
        <v>16998</v>
      </c>
      <c r="Z76" s="44"/>
      <c r="AA76" s="44"/>
      <c r="AB76" s="44">
        <f>8638+68826+456780</f>
        <v>534244</v>
      </c>
      <c r="AC76" s="44">
        <f>8638+68826+456780</f>
        <v>534244</v>
      </c>
      <c r="AD76" s="44">
        <v>430961</v>
      </c>
      <c r="AE76" s="44">
        <v>430961</v>
      </c>
      <c r="AF76" s="44">
        <v>12899</v>
      </c>
      <c r="AG76" s="44">
        <v>154799</v>
      </c>
      <c r="AH76" s="44"/>
      <c r="AI76" s="44"/>
      <c r="AJ76" s="44">
        <v>36102</v>
      </c>
      <c r="AK76" s="44">
        <v>36102</v>
      </c>
      <c r="AL76" s="44">
        <v>2021</v>
      </c>
      <c r="AM76" s="44">
        <v>2021</v>
      </c>
      <c r="AN76" s="44"/>
      <c r="AO76" s="44"/>
      <c r="AP76" s="44">
        <v>31205.494000000032</v>
      </c>
      <c r="AQ76" s="44">
        <v>325793.429</v>
      </c>
      <c r="AR76" s="44">
        <v>5083594</v>
      </c>
      <c r="AS76" s="44">
        <v>5083594</v>
      </c>
      <c r="AT76" s="44">
        <v>51757</v>
      </c>
      <c r="AU76" s="44">
        <v>1347162</v>
      </c>
      <c r="AV76" s="44">
        <v>-4664</v>
      </c>
      <c r="AW76" s="44">
        <v>48065</v>
      </c>
      <c r="AX76" s="44">
        <v>155010</v>
      </c>
      <c r="AY76" s="44">
        <v>155010</v>
      </c>
      <c r="AZ76" s="44"/>
      <c r="BA76" s="44"/>
      <c r="BB76" s="44"/>
      <c r="BC76" s="44"/>
      <c r="BD76" s="51">
        <v>-1522</v>
      </c>
      <c r="BE76" s="51">
        <v>31333</v>
      </c>
      <c r="BF76" s="44">
        <v>34635</v>
      </c>
      <c r="BG76" s="44">
        <v>34635</v>
      </c>
      <c r="BH76" s="44"/>
      <c r="BI76" s="44"/>
      <c r="BJ76" s="44"/>
      <c r="BK76" s="44"/>
      <c r="BL76" s="44">
        <v>2018827</v>
      </c>
      <c r="BM76" s="44">
        <v>2018827</v>
      </c>
      <c r="BN76" s="124">
        <v>1457832</v>
      </c>
      <c r="BO76" s="124">
        <v>1457832</v>
      </c>
      <c r="BP76" s="44">
        <v>180</v>
      </c>
      <c r="BQ76" s="44">
        <v>2428</v>
      </c>
      <c r="BR76" s="44">
        <f t="shared" si="12"/>
        <v>9839339.493999999</v>
      </c>
      <c r="BS76" s="44">
        <f t="shared" si="13"/>
        <v>11948134.429</v>
      </c>
    </row>
    <row r="77" spans="1:71" ht="15" customHeight="1" x14ac:dyDescent="0.25">
      <c r="A77" s="107" t="s">
        <v>346</v>
      </c>
      <c r="B77" s="44">
        <v>13617</v>
      </c>
      <c r="C77" s="44"/>
      <c r="D77" s="44"/>
      <c r="E77" s="44"/>
      <c r="F77" s="44"/>
      <c r="G77" s="44"/>
      <c r="H77" s="44"/>
      <c r="I77" s="44"/>
      <c r="J77" s="123"/>
      <c r="K77" s="44">
        <v>162173</v>
      </c>
      <c r="L77" s="44"/>
      <c r="M77" s="44">
        <v>130947</v>
      </c>
      <c r="N77" s="44"/>
      <c r="O77" s="44">
        <v>16156</v>
      </c>
      <c r="P77" s="44"/>
      <c r="Q77" s="44"/>
      <c r="R77" s="44"/>
      <c r="S77" s="44"/>
      <c r="T77" s="44">
        <v>747</v>
      </c>
      <c r="U77" s="44">
        <v>60</v>
      </c>
      <c r="V77" s="44"/>
      <c r="W77" s="44"/>
      <c r="X77" s="44">
        <v>18025</v>
      </c>
      <c r="Y77" s="44">
        <v>13024</v>
      </c>
      <c r="Z77" s="44"/>
      <c r="AA77" s="44"/>
      <c r="AB77" s="44">
        <f>-7856-68501-428836</f>
        <v>-505193</v>
      </c>
      <c r="AC77" s="44">
        <f>9910-69961-174473</f>
        <v>-234524</v>
      </c>
      <c r="AD77" s="44">
        <v>325092</v>
      </c>
      <c r="AE77" s="44">
        <v>345697</v>
      </c>
      <c r="AF77" s="44"/>
      <c r="AG77" s="44">
        <v>131341</v>
      </c>
      <c r="AH77" s="44"/>
      <c r="AI77" s="44"/>
      <c r="AJ77" s="44">
        <v>21910</v>
      </c>
      <c r="AK77" s="44">
        <v>18093</v>
      </c>
      <c r="AL77" s="44">
        <v>-1905</v>
      </c>
      <c r="AM77" s="44">
        <v>-4698</v>
      </c>
      <c r="AN77" s="44"/>
      <c r="AO77" s="44"/>
      <c r="AP77" s="44">
        <v>0</v>
      </c>
      <c r="AQ77" s="44">
        <v>398541.30099999998</v>
      </c>
      <c r="AR77" s="44">
        <v>4567769</v>
      </c>
      <c r="AS77" s="44">
        <v>4149754</v>
      </c>
      <c r="AT77" s="44">
        <v>0</v>
      </c>
      <c r="AU77" s="44">
        <v>1324321</v>
      </c>
      <c r="AV77" s="44"/>
      <c r="AW77" s="44">
        <v>42813</v>
      </c>
      <c r="AX77" s="44">
        <v>152259</v>
      </c>
      <c r="AY77" s="44">
        <v>138613</v>
      </c>
      <c r="AZ77" s="44"/>
      <c r="BA77" s="44"/>
      <c r="BB77" s="44"/>
      <c r="BC77" s="44"/>
      <c r="BD77" s="51"/>
      <c r="BE77" s="51">
        <v>-24961</v>
      </c>
      <c r="BF77" s="44">
        <v>22017</v>
      </c>
      <c r="BG77" s="44">
        <v>17966</v>
      </c>
      <c r="BH77" s="44"/>
      <c r="BI77" s="44"/>
      <c r="BJ77" s="44"/>
      <c r="BK77" s="44"/>
      <c r="BL77" s="44">
        <v>1881248</v>
      </c>
      <c r="BM77" s="44">
        <v>1626074</v>
      </c>
      <c r="BN77" s="124">
        <v>1607770</v>
      </c>
      <c r="BO77" s="124">
        <v>1419752</v>
      </c>
      <c r="BP77" s="44"/>
      <c r="BQ77" s="44">
        <v>1884</v>
      </c>
      <c r="BR77" s="44">
        <f t="shared" si="12"/>
        <v>8103356</v>
      </c>
      <c r="BS77" s="44">
        <f t="shared" si="13"/>
        <v>9673026.300999999</v>
      </c>
    </row>
    <row r="78" spans="1:71" x14ac:dyDescent="0.25">
      <c r="A78" s="107" t="s">
        <v>347</v>
      </c>
      <c r="B78" s="44">
        <v>11404</v>
      </c>
      <c r="C78" s="44">
        <v>29782</v>
      </c>
      <c r="D78" s="44"/>
      <c r="E78" s="44"/>
      <c r="F78" s="44"/>
      <c r="G78" s="44"/>
      <c r="H78" s="44"/>
      <c r="I78" s="44"/>
      <c r="J78" s="128">
        <v>-46670</v>
      </c>
      <c r="K78" s="44">
        <v>-77351</v>
      </c>
      <c r="L78" s="44">
        <v>21158</v>
      </c>
      <c r="M78" s="44">
        <v>45190</v>
      </c>
      <c r="N78" s="44">
        <v>-380</v>
      </c>
      <c r="O78" s="44">
        <v>10166</v>
      </c>
      <c r="P78" s="44"/>
      <c r="Q78" s="44"/>
      <c r="R78" s="44"/>
      <c r="S78" s="44"/>
      <c r="T78" s="44">
        <v>1</v>
      </c>
      <c r="U78" s="44">
        <v>3</v>
      </c>
      <c r="V78" s="44"/>
      <c r="W78" s="44"/>
      <c r="X78" s="44">
        <v>1537</v>
      </c>
      <c r="Y78" s="44">
        <v>9561</v>
      </c>
      <c r="Z78" s="44"/>
      <c r="AA78" s="44"/>
      <c r="AB78" s="44">
        <f>309+7989+747</f>
        <v>9045</v>
      </c>
      <c r="AC78" s="44">
        <f>-1078+78236-1205</f>
        <v>75953</v>
      </c>
      <c r="AD78" s="44">
        <v>34461</v>
      </c>
      <c r="AE78" s="44">
        <v>111700</v>
      </c>
      <c r="AF78" s="44">
        <v>16168</v>
      </c>
      <c r="AG78" s="44">
        <v>38081</v>
      </c>
      <c r="AH78" s="44"/>
      <c r="AI78" s="44"/>
      <c r="AJ78" s="44">
        <v>3945</v>
      </c>
      <c r="AK78" s="44">
        <v>6907</v>
      </c>
      <c r="AL78" s="44">
        <v>76</v>
      </c>
      <c r="AM78" s="44">
        <v>-60</v>
      </c>
      <c r="AN78" s="44"/>
      <c r="AO78" s="44"/>
      <c r="AP78" s="44">
        <v>40438.071000000033</v>
      </c>
      <c r="AQ78" s="44">
        <v>-42739.751999999979</v>
      </c>
      <c r="AR78" s="44">
        <v>674387</v>
      </c>
      <c r="AS78" s="44">
        <v>2198321</v>
      </c>
      <c r="AT78" s="44">
        <v>44137</v>
      </c>
      <c r="AU78" s="44">
        <v>104562</v>
      </c>
      <c r="AV78" s="44">
        <v>41133</v>
      </c>
      <c r="AW78" s="44">
        <v>142331</v>
      </c>
      <c r="AX78" s="44">
        <f>5159+31916</f>
        <v>37075</v>
      </c>
      <c r="AY78" s="44">
        <f>21971+79839</f>
        <v>101810</v>
      </c>
      <c r="AZ78" s="44"/>
      <c r="BA78" s="44"/>
      <c r="BB78" s="44"/>
      <c r="BC78" s="44"/>
      <c r="BD78" s="119">
        <v>-65</v>
      </c>
      <c r="BE78" s="51">
        <v>6101</v>
      </c>
      <c r="BF78" s="44">
        <v>12585</v>
      </c>
      <c r="BG78" s="44">
        <v>16659</v>
      </c>
      <c r="BH78" s="44">
        <v>-849</v>
      </c>
      <c r="BI78" s="44">
        <v>-73</v>
      </c>
      <c r="BJ78" s="44"/>
      <c r="BK78" s="44"/>
      <c r="BL78" s="44">
        <v>219698</v>
      </c>
      <c r="BM78" s="44">
        <v>795526</v>
      </c>
      <c r="BN78" s="124">
        <v>-130253</v>
      </c>
      <c r="BO78" s="124">
        <v>178365</v>
      </c>
      <c r="BP78" s="44">
        <v>180</v>
      </c>
      <c r="BQ78" s="44">
        <v>768</v>
      </c>
      <c r="BR78" s="44">
        <f t="shared" si="12"/>
        <v>989211.071</v>
      </c>
      <c r="BS78" s="44">
        <f t="shared" si="13"/>
        <v>3751562.2480000001</v>
      </c>
    </row>
    <row r="79" spans="1:71" x14ac:dyDescent="0.25">
      <c r="A79" s="108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85"/>
      <c r="BO79" s="185"/>
      <c r="BP79" s="12"/>
      <c r="BQ79" s="12"/>
      <c r="BR79" s="12"/>
      <c r="BS79" s="12"/>
    </row>
    <row r="80" spans="1:71" x14ac:dyDescent="0.25">
      <c r="A80" s="67" t="s">
        <v>252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85"/>
      <c r="BO80" s="185"/>
      <c r="BP80" s="12"/>
      <c r="BQ80" s="12"/>
      <c r="BR80" s="12"/>
      <c r="BS80" s="12"/>
    </row>
    <row r="81" spans="1:71" s="15" customFormat="1" x14ac:dyDescent="0.25">
      <c r="A81" s="23" t="s">
        <v>0</v>
      </c>
      <c r="B81" s="200" t="s">
        <v>1</v>
      </c>
      <c r="C81" s="200"/>
      <c r="D81" s="200" t="s">
        <v>2</v>
      </c>
      <c r="E81" s="200"/>
      <c r="F81" s="200" t="s">
        <v>3</v>
      </c>
      <c r="G81" s="200"/>
      <c r="H81" s="200" t="s">
        <v>4</v>
      </c>
      <c r="I81" s="200"/>
      <c r="J81" s="200" t="s">
        <v>5</v>
      </c>
      <c r="K81" s="200"/>
      <c r="L81" s="200" t="s">
        <v>6</v>
      </c>
      <c r="M81" s="200"/>
      <c r="N81" s="200" t="s">
        <v>7</v>
      </c>
      <c r="O81" s="200"/>
      <c r="P81" s="200" t="s">
        <v>8</v>
      </c>
      <c r="Q81" s="200"/>
      <c r="R81" s="200" t="s">
        <v>9</v>
      </c>
      <c r="S81" s="200"/>
      <c r="T81" s="200" t="s">
        <v>10</v>
      </c>
      <c r="U81" s="200"/>
      <c r="V81" s="200" t="s">
        <v>11</v>
      </c>
      <c r="W81" s="200"/>
      <c r="X81" s="200" t="s">
        <v>12</v>
      </c>
      <c r="Y81" s="200"/>
      <c r="Z81" s="200" t="s">
        <v>13</v>
      </c>
      <c r="AA81" s="200"/>
      <c r="AB81" s="200" t="s">
        <v>14</v>
      </c>
      <c r="AC81" s="200"/>
      <c r="AD81" s="200" t="s">
        <v>15</v>
      </c>
      <c r="AE81" s="200"/>
      <c r="AF81" s="200" t="s">
        <v>16</v>
      </c>
      <c r="AG81" s="200"/>
      <c r="AH81" s="200" t="s">
        <v>17</v>
      </c>
      <c r="AI81" s="200"/>
      <c r="AJ81" s="200" t="s">
        <v>18</v>
      </c>
      <c r="AK81" s="200"/>
      <c r="AL81" s="200" t="s">
        <v>19</v>
      </c>
      <c r="AM81" s="200"/>
      <c r="AN81" s="200" t="s">
        <v>20</v>
      </c>
      <c r="AO81" s="200"/>
      <c r="AP81" s="200" t="s">
        <v>21</v>
      </c>
      <c r="AQ81" s="200"/>
      <c r="AR81" s="200" t="s">
        <v>147</v>
      </c>
      <c r="AS81" s="200"/>
      <c r="AT81" s="200" t="s">
        <v>148</v>
      </c>
      <c r="AU81" s="200"/>
      <c r="AV81" s="200" t="s">
        <v>22</v>
      </c>
      <c r="AW81" s="200"/>
      <c r="AX81" s="200" t="s">
        <v>23</v>
      </c>
      <c r="AY81" s="200"/>
      <c r="AZ81" s="200" t="s">
        <v>332</v>
      </c>
      <c r="BA81" s="200"/>
      <c r="BB81" s="200" t="s">
        <v>24</v>
      </c>
      <c r="BC81" s="200"/>
      <c r="BD81" s="200" t="s">
        <v>25</v>
      </c>
      <c r="BE81" s="200"/>
      <c r="BF81" s="200" t="s">
        <v>26</v>
      </c>
      <c r="BG81" s="200"/>
      <c r="BH81" s="200" t="s">
        <v>27</v>
      </c>
      <c r="BI81" s="200"/>
      <c r="BJ81" s="200" t="s">
        <v>28</v>
      </c>
      <c r="BK81" s="200"/>
      <c r="BL81" s="200" t="s">
        <v>29</v>
      </c>
      <c r="BM81" s="200"/>
      <c r="BN81" s="201" t="s">
        <v>30</v>
      </c>
      <c r="BO81" s="201"/>
      <c r="BP81" s="200" t="s">
        <v>31</v>
      </c>
      <c r="BQ81" s="200"/>
      <c r="BR81" s="200" t="s">
        <v>250</v>
      </c>
      <c r="BS81" s="200"/>
    </row>
    <row r="82" spans="1:71" s="42" customFormat="1" ht="44.25" customHeight="1" x14ac:dyDescent="0.25">
      <c r="A82" s="43"/>
      <c r="B82" s="43" t="s">
        <v>321</v>
      </c>
      <c r="C82" s="43" t="s">
        <v>322</v>
      </c>
      <c r="D82" s="43" t="s">
        <v>321</v>
      </c>
      <c r="E82" s="43" t="s">
        <v>322</v>
      </c>
      <c r="F82" s="43" t="s">
        <v>321</v>
      </c>
      <c r="G82" s="43" t="s">
        <v>322</v>
      </c>
      <c r="H82" s="43" t="s">
        <v>321</v>
      </c>
      <c r="I82" s="43" t="s">
        <v>322</v>
      </c>
      <c r="J82" s="43" t="s">
        <v>321</v>
      </c>
      <c r="K82" s="43" t="s">
        <v>322</v>
      </c>
      <c r="L82" s="43" t="s">
        <v>321</v>
      </c>
      <c r="M82" s="43" t="s">
        <v>322</v>
      </c>
      <c r="N82" s="43" t="s">
        <v>321</v>
      </c>
      <c r="O82" s="43" t="s">
        <v>322</v>
      </c>
      <c r="P82" s="43" t="s">
        <v>321</v>
      </c>
      <c r="Q82" s="43" t="s">
        <v>322</v>
      </c>
      <c r="R82" s="43" t="s">
        <v>321</v>
      </c>
      <c r="S82" s="43" t="s">
        <v>322</v>
      </c>
      <c r="T82" s="43" t="s">
        <v>321</v>
      </c>
      <c r="U82" s="43" t="s">
        <v>322</v>
      </c>
      <c r="V82" s="43" t="s">
        <v>321</v>
      </c>
      <c r="W82" s="43" t="s">
        <v>322</v>
      </c>
      <c r="X82" s="43" t="s">
        <v>321</v>
      </c>
      <c r="Y82" s="43" t="s">
        <v>322</v>
      </c>
      <c r="Z82" s="43" t="s">
        <v>321</v>
      </c>
      <c r="AA82" s="43" t="s">
        <v>322</v>
      </c>
      <c r="AB82" s="43" t="s">
        <v>321</v>
      </c>
      <c r="AC82" s="43" t="s">
        <v>322</v>
      </c>
      <c r="AD82" s="43" t="s">
        <v>321</v>
      </c>
      <c r="AE82" s="43" t="s">
        <v>322</v>
      </c>
      <c r="AF82" s="43" t="s">
        <v>321</v>
      </c>
      <c r="AG82" s="43" t="s">
        <v>322</v>
      </c>
      <c r="AH82" s="43" t="s">
        <v>321</v>
      </c>
      <c r="AI82" s="43" t="s">
        <v>322</v>
      </c>
      <c r="AJ82" s="43" t="s">
        <v>321</v>
      </c>
      <c r="AK82" s="43" t="s">
        <v>322</v>
      </c>
      <c r="AL82" s="43" t="s">
        <v>321</v>
      </c>
      <c r="AM82" s="43" t="s">
        <v>322</v>
      </c>
      <c r="AN82" s="43" t="s">
        <v>321</v>
      </c>
      <c r="AO82" s="43" t="s">
        <v>322</v>
      </c>
      <c r="AP82" s="43" t="s">
        <v>321</v>
      </c>
      <c r="AQ82" s="43" t="s">
        <v>322</v>
      </c>
      <c r="AR82" s="43" t="s">
        <v>321</v>
      </c>
      <c r="AS82" s="43" t="s">
        <v>322</v>
      </c>
      <c r="AT82" s="43" t="s">
        <v>321</v>
      </c>
      <c r="AU82" s="43" t="s">
        <v>322</v>
      </c>
      <c r="AV82" s="43" t="s">
        <v>321</v>
      </c>
      <c r="AW82" s="43" t="s">
        <v>322</v>
      </c>
      <c r="AX82" s="43" t="s">
        <v>321</v>
      </c>
      <c r="AY82" s="43" t="s">
        <v>322</v>
      </c>
      <c r="AZ82" s="43" t="s">
        <v>321</v>
      </c>
      <c r="BA82" s="43" t="s">
        <v>322</v>
      </c>
      <c r="BB82" s="43" t="s">
        <v>321</v>
      </c>
      <c r="BC82" s="43" t="s">
        <v>322</v>
      </c>
      <c r="BD82" s="43" t="s">
        <v>321</v>
      </c>
      <c r="BE82" s="43" t="s">
        <v>322</v>
      </c>
      <c r="BF82" s="43" t="s">
        <v>321</v>
      </c>
      <c r="BG82" s="43" t="s">
        <v>322</v>
      </c>
      <c r="BH82" s="43" t="s">
        <v>321</v>
      </c>
      <c r="BI82" s="43" t="s">
        <v>322</v>
      </c>
      <c r="BJ82" s="43" t="s">
        <v>321</v>
      </c>
      <c r="BK82" s="43" t="s">
        <v>322</v>
      </c>
      <c r="BL82" s="43" t="s">
        <v>321</v>
      </c>
      <c r="BM82" s="43" t="s">
        <v>322</v>
      </c>
      <c r="BN82" s="183" t="s">
        <v>321</v>
      </c>
      <c r="BO82" s="183" t="s">
        <v>322</v>
      </c>
      <c r="BP82" s="43" t="s">
        <v>321</v>
      </c>
      <c r="BQ82" s="43" t="s">
        <v>322</v>
      </c>
      <c r="BR82" s="43" t="s">
        <v>321</v>
      </c>
      <c r="BS82" s="43" t="s">
        <v>322</v>
      </c>
    </row>
    <row r="83" spans="1:71" x14ac:dyDescent="0.25">
      <c r="A83" s="107" t="s">
        <v>68</v>
      </c>
      <c r="B83" s="44"/>
      <c r="C83" s="44"/>
      <c r="D83" s="44"/>
      <c r="E83" s="44"/>
      <c r="F83" s="44"/>
      <c r="G83" s="44"/>
      <c r="H83" s="44"/>
      <c r="I83" s="44"/>
      <c r="J83" s="124">
        <v>17435</v>
      </c>
      <c r="K83" s="44">
        <v>61764</v>
      </c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>
        <v>105516</v>
      </c>
      <c r="AC83" s="44">
        <v>199786</v>
      </c>
      <c r="AD83" s="44">
        <v>10542</v>
      </c>
      <c r="AE83" s="44">
        <v>158049</v>
      </c>
      <c r="AF83" s="44">
        <v>7948</v>
      </c>
      <c r="AG83" s="44">
        <v>9222</v>
      </c>
      <c r="AH83" s="44"/>
      <c r="AI83" s="44"/>
      <c r="AJ83" s="44"/>
      <c r="AK83" s="44"/>
      <c r="AL83" s="44"/>
      <c r="AM83" s="44"/>
      <c r="AN83" s="44"/>
      <c r="AO83" s="44"/>
      <c r="AP83" s="44">
        <v>146670.867</v>
      </c>
      <c r="AQ83" s="44">
        <v>198322.88099999999</v>
      </c>
      <c r="AR83" s="44">
        <v>2653635</v>
      </c>
      <c r="AS83" s="44">
        <v>3158983</v>
      </c>
      <c r="AT83" s="44">
        <v>420640</v>
      </c>
      <c r="AU83" s="44">
        <v>882460</v>
      </c>
      <c r="AV83" s="44"/>
      <c r="AW83" s="44"/>
      <c r="AX83" s="44">
        <v>1816</v>
      </c>
      <c r="AY83" s="44">
        <v>39634</v>
      </c>
      <c r="AZ83" s="44"/>
      <c r="BA83" s="44"/>
      <c r="BB83" s="44"/>
      <c r="BC83" s="44"/>
      <c r="BD83" s="120"/>
      <c r="BE83" s="115"/>
      <c r="BF83" s="44">
        <v>49</v>
      </c>
      <c r="BG83" s="44">
        <v>2061</v>
      </c>
      <c r="BH83" s="44"/>
      <c r="BI83" s="44"/>
      <c r="BJ83" s="44"/>
      <c r="BK83" s="44"/>
      <c r="BL83" s="44"/>
      <c r="BM83" s="44"/>
      <c r="BN83" s="124">
        <v>123061</v>
      </c>
      <c r="BO83" s="124">
        <v>368579</v>
      </c>
      <c r="BP83" s="44"/>
      <c r="BQ83" s="44"/>
      <c r="BR83" s="44">
        <f t="shared" ref="BR83:BR89" si="14">B83+D83+F83+H83+J83+L83+N83+P83+R83+T83+V83+X83+Z83+AB83+AD83+AF83+AH83+AJ83+AL83+AN83+AP83+AR83+AT83+AV83+AX83+BB83+BD83+BF83+BH83+BJ83+BL83+BN83+BP83</f>
        <v>3487312.8670000001</v>
      </c>
      <c r="BS83" s="44">
        <f t="shared" ref="BS83:BS89" si="15">C83+E83+G83+I83+K83+M83+O83+Q83+S83+U83+W83+Y83+AA83+AC83+AE83+AG83+AI83+AK83+AM83+AO83+AQ83+AS83+AU83+AW83+AY83+BC83+BE83+BG83+BI83+BK83+BM83+BO83+BQ83</f>
        <v>5078860.8810000001</v>
      </c>
    </row>
    <row r="84" spans="1:71" x14ac:dyDescent="0.25">
      <c r="A84" s="107" t="s">
        <v>342</v>
      </c>
      <c r="B84" s="44"/>
      <c r="C84" s="44"/>
      <c r="D84" s="44"/>
      <c r="E84" s="44"/>
      <c r="F84" s="44"/>
      <c r="G84" s="44"/>
      <c r="H84" s="44"/>
      <c r="I84" s="44"/>
      <c r="J84" s="12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>
        <v>291</v>
      </c>
      <c r="AH84" s="44"/>
      <c r="AI84" s="44"/>
      <c r="AJ84" s="44"/>
      <c r="AK84" s="44"/>
      <c r="AL84" s="44"/>
      <c r="AM84" s="44"/>
      <c r="AN84" s="44"/>
      <c r="AO84" s="44"/>
      <c r="AP84" s="44">
        <v>245370.28799999997</v>
      </c>
      <c r="AQ84" s="44">
        <v>393695.69699999999</v>
      </c>
      <c r="AR84" s="44"/>
      <c r="AS84" s="44"/>
      <c r="AT84" s="44">
        <v>415833</v>
      </c>
      <c r="AU84" s="44">
        <v>825582</v>
      </c>
      <c r="AV84" s="44"/>
      <c r="AW84" s="44"/>
      <c r="AX84" s="44"/>
      <c r="AY84" s="44"/>
      <c r="AZ84" s="44"/>
      <c r="BA84" s="44"/>
      <c r="BB84" s="44"/>
      <c r="BC84" s="44"/>
      <c r="BD84" s="120"/>
      <c r="BE84" s="115"/>
      <c r="BF84" s="44"/>
      <c r="BG84" s="44"/>
      <c r="BH84" s="44"/>
      <c r="BI84" s="44"/>
      <c r="BJ84" s="44"/>
      <c r="BK84" s="44"/>
      <c r="BL84" s="44"/>
      <c r="BM84" s="44"/>
      <c r="BN84" s="124">
        <v>34292</v>
      </c>
      <c r="BO84" s="124">
        <v>105339</v>
      </c>
      <c r="BP84" s="44"/>
      <c r="BQ84" s="44"/>
      <c r="BR84" s="44">
        <f t="shared" si="14"/>
        <v>695495.28799999994</v>
      </c>
      <c r="BS84" s="44">
        <f t="shared" si="15"/>
        <v>1324907.6969999999</v>
      </c>
    </row>
    <row r="85" spans="1:71" x14ac:dyDescent="0.25">
      <c r="A85" s="107" t="s">
        <v>343</v>
      </c>
      <c r="B85" s="44"/>
      <c r="C85" s="44"/>
      <c r="D85" s="44"/>
      <c r="E85" s="44"/>
      <c r="F85" s="44"/>
      <c r="G85" s="44"/>
      <c r="H85" s="44"/>
      <c r="I85" s="44"/>
      <c r="J85" s="124">
        <v>10734</v>
      </c>
      <c r="K85" s="44">
        <v>53568</v>
      </c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>
        <v>7870</v>
      </c>
      <c r="AG85" s="44">
        <v>9062</v>
      </c>
      <c r="AH85" s="44"/>
      <c r="AI85" s="44"/>
      <c r="AJ85" s="44"/>
      <c r="AK85" s="44"/>
      <c r="AL85" s="44"/>
      <c r="AM85" s="44"/>
      <c r="AN85" s="44"/>
      <c r="AO85" s="44"/>
      <c r="AP85" s="44">
        <v>160140.62100000001</v>
      </c>
      <c r="AQ85" s="44">
        <v>162723.22200000001</v>
      </c>
      <c r="AR85" s="44"/>
      <c r="AS85" s="44"/>
      <c r="AT85" s="44">
        <v>252304</v>
      </c>
      <c r="AU85" s="44">
        <v>990492</v>
      </c>
      <c r="AV85" s="44"/>
      <c r="AW85" s="44"/>
      <c r="AX85" s="44">
        <v>17527</v>
      </c>
      <c r="AY85" s="44">
        <v>54152</v>
      </c>
      <c r="AZ85" s="44"/>
      <c r="BA85" s="44"/>
      <c r="BB85" s="44"/>
      <c r="BC85" s="44"/>
      <c r="BD85" s="120"/>
      <c r="BE85" s="115"/>
      <c r="BF85" s="44">
        <v>50</v>
      </c>
      <c r="BG85" s="44">
        <v>2057</v>
      </c>
      <c r="BH85" s="44"/>
      <c r="BI85" s="44"/>
      <c r="BJ85" s="44"/>
      <c r="BK85" s="44"/>
      <c r="BL85" s="44">
        <v>-113</v>
      </c>
      <c r="BM85" s="44"/>
      <c r="BN85" s="124">
        <v>81443</v>
      </c>
      <c r="BO85" s="124">
        <v>289669</v>
      </c>
      <c r="BP85" s="44"/>
      <c r="BQ85" s="44"/>
      <c r="BR85" s="44">
        <f t="shared" si="14"/>
        <v>529955.62100000004</v>
      </c>
      <c r="BS85" s="44">
        <f t="shared" si="15"/>
        <v>1561723.2220000001</v>
      </c>
    </row>
    <row r="86" spans="1:71" x14ac:dyDescent="0.25">
      <c r="A86" s="107" t="s">
        <v>344</v>
      </c>
      <c r="B86" s="44"/>
      <c r="C86" s="44"/>
      <c r="D86" s="44"/>
      <c r="E86" s="44"/>
      <c r="F86" s="44"/>
      <c r="G86" s="44"/>
      <c r="H86" s="44"/>
      <c r="I86" s="44"/>
      <c r="J86" s="12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120"/>
      <c r="BE86" s="115"/>
      <c r="BF86" s="44"/>
      <c r="BG86" s="44"/>
      <c r="BH86" s="44"/>
      <c r="BI86" s="44"/>
      <c r="BJ86" s="44"/>
      <c r="BK86" s="44"/>
      <c r="BL86" s="44"/>
      <c r="BM86" s="44"/>
      <c r="BN86" s="124"/>
      <c r="BO86" s="124"/>
      <c r="BP86" s="44"/>
      <c r="BQ86" s="44"/>
      <c r="BR86" s="44">
        <f t="shared" si="14"/>
        <v>0</v>
      </c>
      <c r="BS86" s="44">
        <f t="shared" si="15"/>
        <v>0</v>
      </c>
    </row>
    <row r="87" spans="1:71" ht="15" customHeight="1" x14ac:dyDescent="0.25">
      <c r="A87" s="107" t="s">
        <v>345</v>
      </c>
      <c r="B87" s="44"/>
      <c r="C87" s="44"/>
      <c r="D87" s="44"/>
      <c r="E87" s="44"/>
      <c r="F87" s="44"/>
      <c r="G87" s="44"/>
      <c r="H87" s="44"/>
      <c r="I87" s="44"/>
      <c r="J87" s="124">
        <v>15538</v>
      </c>
      <c r="K87" s="180">
        <v>29543</v>
      </c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>
        <v>733900</v>
      </c>
      <c r="AC87" s="44">
        <v>733900</v>
      </c>
      <c r="AD87" s="44">
        <v>1370114</v>
      </c>
      <c r="AE87" s="44">
        <v>1370114</v>
      </c>
      <c r="AF87" s="44">
        <v>-74</v>
      </c>
      <c r="AG87" s="44">
        <v>1958</v>
      </c>
      <c r="AH87" s="44"/>
      <c r="AI87" s="44"/>
      <c r="AJ87" s="44"/>
      <c r="AK87" s="44"/>
      <c r="AL87" s="44"/>
      <c r="AM87" s="44"/>
      <c r="AN87" s="44"/>
      <c r="AO87" s="44"/>
      <c r="AP87" s="44">
        <v>323703.65800000005</v>
      </c>
      <c r="AQ87" s="44">
        <v>535116.88400000008</v>
      </c>
      <c r="AR87" s="44">
        <v>2387400</v>
      </c>
      <c r="AS87" s="44">
        <v>2387400</v>
      </c>
      <c r="AT87" s="44">
        <v>-381532</v>
      </c>
      <c r="AU87" s="44">
        <v>1263245</v>
      </c>
      <c r="AV87" s="44"/>
      <c r="AW87" s="44"/>
      <c r="AX87" s="44">
        <v>4326</v>
      </c>
      <c r="AY87" s="44">
        <v>4326</v>
      </c>
      <c r="AZ87" s="44"/>
      <c r="BA87" s="44"/>
      <c r="BB87" s="44"/>
      <c r="BC87" s="44"/>
      <c r="BD87" s="120"/>
      <c r="BE87" s="115"/>
      <c r="BF87" s="44">
        <v>154</v>
      </c>
      <c r="BG87" s="44">
        <v>154</v>
      </c>
      <c r="BH87" s="44"/>
      <c r="BI87" s="44"/>
      <c r="BJ87" s="44"/>
      <c r="BK87" s="44"/>
      <c r="BL87" s="44">
        <v>2918</v>
      </c>
      <c r="BM87" s="44">
        <v>2918</v>
      </c>
      <c r="BN87" s="124">
        <v>255886</v>
      </c>
      <c r="BO87" s="124">
        <v>255886</v>
      </c>
      <c r="BP87" s="44"/>
      <c r="BQ87" s="44"/>
      <c r="BR87" s="44">
        <f t="shared" si="14"/>
        <v>4712333.6579999998</v>
      </c>
      <c r="BS87" s="44">
        <f t="shared" si="15"/>
        <v>6584560.8839999996</v>
      </c>
    </row>
    <row r="88" spans="1:71" ht="15" customHeight="1" x14ac:dyDescent="0.25">
      <c r="A88" s="107" t="s">
        <v>346</v>
      </c>
      <c r="B88" s="44"/>
      <c r="C88" s="44"/>
      <c r="D88" s="44"/>
      <c r="E88" s="44"/>
      <c r="F88" s="44"/>
      <c r="G88" s="44"/>
      <c r="H88" s="44"/>
      <c r="I88" s="44"/>
      <c r="J88" s="124"/>
      <c r="K88" s="44">
        <v>15059</v>
      </c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>
        <v>-771881</v>
      </c>
      <c r="AC88" s="44">
        <v>-828410</v>
      </c>
      <c r="AD88" s="44">
        <v>1337224</v>
      </c>
      <c r="AE88" s="44">
        <v>1401464</v>
      </c>
      <c r="AF88" s="44"/>
      <c r="AG88" s="44">
        <v>430</v>
      </c>
      <c r="AH88" s="44"/>
      <c r="AI88" s="44"/>
      <c r="AJ88" s="44"/>
      <c r="AK88" s="44"/>
      <c r="AL88" s="44"/>
      <c r="AM88" s="44"/>
      <c r="AN88" s="44"/>
      <c r="AO88" s="44"/>
      <c r="AP88" s="44">
        <v>0</v>
      </c>
      <c r="AQ88" s="44">
        <v>145513.88200000004</v>
      </c>
      <c r="AR88" s="44">
        <v>4642984</v>
      </c>
      <c r="AS88" s="44">
        <v>1919351</v>
      </c>
      <c r="AT88" s="44">
        <v>0</v>
      </c>
      <c r="AU88" s="44">
        <v>1194171</v>
      </c>
      <c r="AV88" s="44"/>
      <c r="AW88" s="44"/>
      <c r="AX88" s="44">
        <v>3524</v>
      </c>
      <c r="AY88" s="44">
        <v>2551</v>
      </c>
      <c r="AZ88" s="44"/>
      <c r="BA88" s="44"/>
      <c r="BB88" s="44"/>
      <c r="BC88" s="44"/>
      <c r="BD88" s="120"/>
      <c r="BE88" s="115"/>
      <c r="BF88" s="44">
        <v>157</v>
      </c>
      <c r="BG88" s="44">
        <v>156</v>
      </c>
      <c r="BH88" s="44"/>
      <c r="BI88" s="44"/>
      <c r="BJ88" s="44"/>
      <c r="BK88" s="44"/>
      <c r="BL88" s="44">
        <v>830</v>
      </c>
      <c r="BM88" s="44">
        <v>3388</v>
      </c>
      <c r="BN88" s="124">
        <v>251067</v>
      </c>
      <c r="BO88" s="124">
        <v>370811</v>
      </c>
      <c r="BP88" s="44"/>
      <c r="BQ88" s="44"/>
      <c r="BR88" s="44">
        <f t="shared" si="14"/>
        <v>5463905</v>
      </c>
      <c r="BS88" s="44">
        <f t="shared" si="15"/>
        <v>4224484.8820000002</v>
      </c>
    </row>
    <row r="89" spans="1:71" x14ac:dyDescent="0.25">
      <c r="A89" s="107" t="s">
        <v>347</v>
      </c>
      <c r="B89" s="44"/>
      <c r="C89" s="44"/>
      <c r="D89" s="44"/>
      <c r="E89" s="44"/>
      <c r="F89" s="44"/>
      <c r="G89" s="44"/>
      <c r="H89" s="44"/>
      <c r="I89" s="44"/>
      <c r="J89" s="123">
        <v>22239</v>
      </c>
      <c r="K89" s="44">
        <v>22680</v>
      </c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>
        <v>4</v>
      </c>
      <c r="Z89" s="44"/>
      <c r="AA89" s="44"/>
      <c r="AB89" s="44">
        <v>-972</v>
      </c>
      <c r="AC89" s="44">
        <v>62821</v>
      </c>
      <c r="AD89" s="44">
        <v>91852</v>
      </c>
      <c r="AE89" s="44">
        <v>161893</v>
      </c>
      <c r="AF89" s="44">
        <v>4</v>
      </c>
      <c r="AG89" s="44">
        <v>1979</v>
      </c>
      <c r="AH89" s="44"/>
      <c r="AI89" s="44"/>
      <c r="AJ89" s="44"/>
      <c r="AK89" s="44"/>
      <c r="AL89" s="44"/>
      <c r="AM89" s="44"/>
      <c r="AN89" s="44"/>
      <c r="AO89" s="44"/>
      <c r="AP89" s="44">
        <v>555604.19200000004</v>
      </c>
      <c r="AQ89" s="44">
        <v>818898.35800000001</v>
      </c>
      <c r="AR89" s="44">
        <v>401057</v>
      </c>
      <c r="AS89" s="44">
        <v>1651374</v>
      </c>
      <c r="AT89" s="44">
        <v>202636</v>
      </c>
      <c r="AU89" s="44">
        <v>786623</v>
      </c>
      <c r="AV89" s="44"/>
      <c r="AW89" s="44"/>
      <c r="AX89" s="44">
        <v>-14909</v>
      </c>
      <c r="AY89" s="44">
        <v>-12743</v>
      </c>
      <c r="AZ89" s="44"/>
      <c r="BA89" s="44"/>
      <c r="BB89" s="44"/>
      <c r="BC89" s="44"/>
      <c r="BD89" s="114"/>
      <c r="BE89" s="115"/>
      <c r="BF89" s="44">
        <v>-4</v>
      </c>
      <c r="BG89" s="44">
        <v>2</v>
      </c>
      <c r="BH89" s="44"/>
      <c r="BI89" s="44"/>
      <c r="BJ89" s="44"/>
      <c r="BK89" s="44"/>
      <c r="BL89" s="44">
        <v>2201</v>
      </c>
      <c r="BM89" s="44">
        <v>-470</v>
      </c>
      <c r="BN89" s="124">
        <v>80729</v>
      </c>
      <c r="BO89" s="124">
        <v>69324</v>
      </c>
      <c r="BP89" s="44"/>
      <c r="BQ89" s="44"/>
      <c r="BR89" s="44">
        <f t="shared" si="14"/>
        <v>1340437.192</v>
      </c>
      <c r="BS89" s="44">
        <f t="shared" si="15"/>
        <v>3562385.358</v>
      </c>
    </row>
    <row r="90" spans="1:71" x14ac:dyDescent="0.25">
      <c r="BD90" s="110"/>
      <c r="BE90" s="110"/>
    </row>
    <row r="91" spans="1:71" x14ac:dyDescent="0.25">
      <c r="A91" s="7" t="s">
        <v>170</v>
      </c>
    </row>
    <row r="92" spans="1:71" s="15" customFormat="1" x14ac:dyDescent="0.25">
      <c r="A92" s="23" t="s">
        <v>0</v>
      </c>
      <c r="B92" s="200" t="s">
        <v>1</v>
      </c>
      <c r="C92" s="200"/>
      <c r="D92" s="200" t="s">
        <v>2</v>
      </c>
      <c r="E92" s="200"/>
      <c r="F92" s="200" t="s">
        <v>3</v>
      </c>
      <c r="G92" s="200"/>
      <c r="H92" s="200" t="s">
        <v>4</v>
      </c>
      <c r="I92" s="200"/>
      <c r="J92" s="200" t="s">
        <v>5</v>
      </c>
      <c r="K92" s="200"/>
      <c r="L92" s="200" t="s">
        <v>6</v>
      </c>
      <c r="M92" s="200"/>
      <c r="N92" s="200" t="s">
        <v>7</v>
      </c>
      <c r="O92" s="200"/>
      <c r="P92" s="200" t="s">
        <v>8</v>
      </c>
      <c r="Q92" s="200"/>
      <c r="R92" s="200" t="s">
        <v>9</v>
      </c>
      <c r="S92" s="200"/>
      <c r="T92" s="200" t="s">
        <v>10</v>
      </c>
      <c r="U92" s="200"/>
      <c r="V92" s="200" t="s">
        <v>11</v>
      </c>
      <c r="W92" s="200"/>
      <c r="X92" s="200" t="s">
        <v>12</v>
      </c>
      <c r="Y92" s="200"/>
      <c r="Z92" s="200" t="s">
        <v>13</v>
      </c>
      <c r="AA92" s="200"/>
      <c r="AB92" s="200" t="s">
        <v>14</v>
      </c>
      <c r="AC92" s="200"/>
      <c r="AD92" s="200" t="s">
        <v>15</v>
      </c>
      <c r="AE92" s="200"/>
      <c r="AF92" s="200" t="s">
        <v>16</v>
      </c>
      <c r="AG92" s="200"/>
      <c r="AH92" s="200" t="s">
        <v>17</v>
      </c>
      <c r="AI92" s="200"/>
      <c r="AJ92" s="200" t="s">
        <v>18</v>
      </c>
      <c r="AK92" s="200"/>
      <c r="AL92" s="200" t="s">
        <v>19</v>
      </c>
      <c r="AM92" s="200"/>
      <c r="AN92" s="200" t="s">
        <v>20</v>
      </c>
      <c r="AO92" s="200"/>
      <c r="AP92" s="200" t="s">
        <v>21</v>
      </c>
      <c r="AQ92" s="200"/>
      <c r="AR92" s="200" t="s">
        <v>147</v>
      </c>
      <c r="AS92" s="200"/>
      <c r="AT92" s="200" t="s">
        <v>148</v>
      </c>
      <c r="AU92" s="200"/>
      <c r="AV92" s="200" t="s">
        <v>22</v>
      </c>
      <c r="AW92" s="200"/>
      <c r="AX92" s="200" t="s">
        <v>23</v>
      </c>
      <c r="AY92" s="200"/>
      <c r="AZ92" s="200" t="s">
        <v>332</v>
      </c>
      <c r="BA92" s="200"/>
      <c r="BB92" s="200" t="s">
        <v>24</v>
      </c>
      <c r="BC92" s="200"/>
      <c r="BD92" s="200" t="s">
        <v>25</v>
      </c>
      <c r="BE92" s="200"/>
      <c r="BF92" s="200" t="s">
        <v>26</v>
      </c>
      <c r="BG92" s="200"/>
      <c r="BH92" s="200" t="s">
        <v>27</v>
      </c>
      <c r="BI92" s="200"/>
      <c r="BJ92" s="200" t="s">
        <v>28</v>
      </c>
      <c r="BK92" s="200"/>
      <c r="BL92" s="200" t="s">
        <v>29</v>
      </c>
      <c r="BM92" s="200"/>
      <c r="BN92" s="201" t="s">
        <v>30</v>
      </c>
      <c r="BO92" s="201"/>
      <c r="BP92" s="200" t="s">
        <v>31</v>
      </c>
      <c r="BQ92" s="200"/>
      <c r="BR92" s="200" t="s">
        <v>250</v>
      </c>
      <c r="BS92" s="200"/>
    </row>
    <row r="93" spans="1:71" s="42" customFormat="1" ht="44.25" customHeight="1" x14ac:dyDescent="0.25">
      <c r="A93" s="43"/>
      <c r="B93" s="43" t="s">
        <v>321</v>
      </c>
      <c r="C93" s="43" t="s">
        <v>322</v>
      </c>
      <c r="D93" s="43" t="s">
        <v>321</v>
      </c>
      <c r="E93" s="43" t="s">
        <v>322</v>
      </c>
      <c r="F93" s="43" t="s">
        <v>321</v>
      </c>
      <c r="G93" s="43" t="s">
        <v>322</v>
      </c>
      <c r="H93" s="43" t="s">
        <v>321</v>
      </c>
      <c r="I93" s="43" t="s">
        <v>322</v>
      </c>
      <c r="J93" s="43" t="s">
        <v>321</v>
      </c>
      <c r="K93" s="43" t="s">
        <v>322</v>
      </c>
      <c r="L93" s="43" t="s">
        <v>321</v>
      </c>
      <c r="M93" s="43" t="s">
        <v>322</v>
      </c>
      <c r="N93" s="43" t="s">
        <v>321</v>
      </c>
      <c r="O93" s="43" t="s">
        <v>322</v>
      </c>
      <c r="P93" s="43" t="s">
        <v>321</v>
      </c>
      <c r="Q93" s="43" t="s">
        <v>322</v>
      </c>
      <c r="R93" s="43" t="s">
        <v>321</v>
      </c>
      <c r="S93" s="43" t="s">
        <v>322</v>
      </c>
      <c r="T93" s="43" t="s">
        <v>321</v>
      </c>
      <c r="U93" s="43" t="s">
        <v>322</v>
      </c>
      <c r="V93" s="43" t="s">
        <v>321</v>
      </c>
      <c r="W93" s="43" t="s">
        <v>322</v>
      </c>
      <c r="X93" s="43" t="s">
        <v>321</v>
      </c>
      <c r="Y93" s="43" t="s">
        <v>322</v>
      </c>
      <c r="Z93" s="43" t="s">
        <v>321</v>
      </c>
      <c r="AA93" s="43" t="s">
        <v>322</v>
      </c>
      <c r="AB93" s="43" t="s">
        <v>321</v>
      </c>
      <c r="AC93" s="43" t="s">
        <v>322</v>
      </c>
      <c r="AD93" s="43" t="s">
        <v>321</v>
      </c>
      <c r="AE93" s="43" t="s">
        <v>322</v>
      </c>
      <c r="AF93" s="43" t="s">
        <v>321</v>
      </c>
      <c r="AG93" s="43" t="s">
        <v>322</v>
      </c>
      <c r="AH93" s="43" t="s">
        <v>321</v>
      </c>
      <c r="AI93" s="43" t="s">
        <v>322</v>
      </c>
      <c r="AJ93" s="43" t="s">
        <v>321</v>
      </c>
      <c r="AK93" s="43" t="s">
        <v>322</v>
      </c>
      <c r="AL93" s="43" t="s">
        <v>321</v>
      </c>
      <c r="AM93" s="43" t="s">
        <v>322</v>
      </c>
      <c r="AN93" s="43" t="s">
        <v>321</v>
      </c>
      <c r="AO93" s="43" t="s">
        <v>322</v>
      </c>
      <c r="AP93" s="43" t="s">
        <v>321</v>
      </c>
      <c r="AQ93" s="43" t="s">
        <v>322</v>
      </c>
      <c r="AR93" s="43" t="s">
        <v>321</v>
      </c>
      <c r="AS93" s="43" t="s">
        <v>322</v>
      </c>
      <c r="AT93" s="43" t="s">
        <v>321</v>
      </c>
      <c r="AU93" s="43" t="s">
        <v>322</v>
      </c>
      <c r="AV93" s="43" t="s">
        <v>321</v>
      </c>
      <c r="AW93" s="43" t="s">
        <v>322</v>
      </c>
      <c r="AX93" s="43" t="s">
        <v>321</v>
      </c>
      <c r="AY93" s="43" t="s">
        <v>322</v>
      </c>
      <c r="AZ93" s="43" t="s">
        <v>321</v>
      </c>
      <c r="BA93" s="43" t="s">
        <v>322</v>
      </c>
      <c r="BB93" s="43" t="s">
        <v>321</v>
      </c>
      <c r="BC93" s="43" t="s">
        <v>322</v>
      </c>
      <c r="BD93" s="43" t="s">
        <v>321</v>
      </c>
      <c r="BE93" s="43" t="s">
        <v>322</v>
      </c>
      <c r="BF93" s="43" t="s">
        <v>321</v>
      </c>
      <c r="BG93" s="43" t="s">
        <v>322</v>
      </c>
      <c r="BH93" s="43" t="s">
        <v>321</v>
      </c>
      <c r="BI93" s="43" t="s">
        <v>322</v>
      </c>
      <c r="BJ93" s="43" t="s">
        <v>321</v>
      </c>
      <c r="BK93" s="43" t="s">
        <v>322</v>
      </c>
      <c r="BL93" s="43" t="s">
        <v>321</v>
      </c>
      <c r="BM93" s="43" t="s">
        <v>322</v>
      </c>
      <c r="BN93" s="183" t="s">
        <v>321</v>
      </c>
      <c r="BO93" s="183" t="s">
        <v>322</v>
      </c>
      <c r="BP93" s="43" t="s">
        <v>321</v>
      </c>
      <c r="BQ93" s="43" t="s">
        <v>322</v>
      </c>
      <c r="BR93" s="43" t="s">
        <v>321</v>
      </c>
      <c r="BS93" s="43" t="s">
        <v>322</v>
      </c>
    </row>
    <row r="94" spans="1:71" x14ac:dyDescent="0.25">
      <c r="A94" s="107" t="s">
        <v>68</v>
      </c>
      <c r="B94" s="44">
        <f>B105-B61-B50-B39-B28-B17-B6-B72-B83</f>
        <v>1</v>
      </c>
      <c r="C94" s="44">
        <f>C105-C61-C50-C39-C28-C17-C6-C72-C83</f>
        <v>0</v>
      </c>
      <c r="D94" s="44"/>
      <c r="E94" s="44"/>
      <c r="F94" s="44"/>
      <c r="G94" s="44"/>
      <c r="H94" s="44">
        <f>H105-H61-H50-H39-H28-H17-H6-H72-H83</f>
        <v>36708</v>
      </c>
      <c r="I94" s="44">
        <f>I105-I61-I50-I39-I28-I17-I6-I72-I83</f>
        <v>118920</v>
      </c>
      <c r="J94" s="44">
        <f>J105-J61-J50-J39-J28-J17-J6-J72-J83</f>
        <v>2300603</v>
      </c>
      <c r="K94" s="44">
        <f>K105-K61-K50-K39-K28-K17-K6-K72-K83</f>
        <v>15451345</v>
      </c>
      <c r="L94" s="44">
        <f t="shared" ref="L94:BQ94" si="16">L105-L61-L50-L39-L28-L17-L6-L72-L83</f>
        <v>1516331</v>
      </c>
      <c r="M94" s="44">
        <f t="shared" si="16"/>
        <v>2470579</v>
      </c>
      <c r="N94" s="44">
        <f t="shared" si="16"/>
        <v>134226</v>
      </c>
      <c r="O94" s="44">
        <f t="shared" si="16"/>
        <v>6023162</v>
      </c>
      <c r="P94" s="44">
        <f t="shared" si="16"/>
        <v>283</v>
      </c>
      <c r="Q94" s="44">
        <f t="shared" si="16"/>
        <v>454</v>
      </c>
      <c r="R94" s="44">
        <f t="shared" si="16"/>
        <v>0</v>
      </c>
      <c r="S94" s="44">
        <f t="shared" si="16"/>
        <v>0</v>
      </c>
      <c r="T94" s="44">
        <f t="shared" si="16"/>
        <v>236</v>
      </c>
      <c r="U94" s="44">
        <f t="shared" si="16"/>
        <v>236</v>
      </c>
      <c r="V94" s="44">
        <f t="shared" si="16"/>
        <v>4814061.3600000003</v>
      </c>
      <c r="W94" s="44">
        <f t="shared" si="16"/>
        <v>10133071.710000001</v>
      </c>
      <c r="X94" s="44">
        <f t="shared" si="16"/>
        <v>203106</v>
      </c>
      <c r="Y94" s="44">
        <f t="shared" si="16"/>
        <v>687053</v>
      </c>
      <c r="Z94" s="44">
        <f t="shared" si="16"/>
        <v>5914</v>
      </c>
      <c r="AA94" s="44">
        <f t="shared" si="16"/>
        <v>15589</v>
      </c>
      <c r="AB94" s="44">
        <f t="shared" si="16"/>
        <v>5365391</v>
      </c>
      <c r="AC94" s="44">
        <f t="shared" si="16"/>
        <v>20071125</v>
      </c>
      <c r="AD94" s="44">
        <f t="shared" si="16"/>
        <v>5065063</v>
      </c>
      <c r="AE94" s="44">
        <f t="shared" si="16"/>
        <v>36458870</v>
      </c>
      <c r="AF94" s="44">
        <f t="shared" si="16"/>
        <v>5409550</v>
      </c>
      <c r="AG94" s="44">
        <f t="shared" si="16"/>
        <v>18434578</v>
      </c>
      <c r="AH94" s="44">
        <f t="shared" si="16"/>
        <v>1431</v>
      </c>
      <c r="AI94" s="44">
        <f t="shared" si="16"/>
        <v>2285</v>
      </c>
      <c r="AJ94" s="44">
        <f t="shared" si="16"/>
        <v>21718</v>
      </c>
      <c r="AK94" s="44">
        <f t="shared" si="16"/>
        <v>98187</v>
      </c>
      <c r="AL94" s="44">
        <f t="shared" si="16"/>
        <v>989</v>
      </c>
      <c r="AM94" s="44">
        <f t="shared" si="16"/>
        <v>66947</v>
      </c>
      <c r="AN94" s="44">
        <v>0</v>
      </c>
      <c r="AO94" s="44">
        <f t="shared" si="16"/>
        <v>0</v>
      </c>
      <c r="AP94" s="44">
        <f t="shared" si="16"/>
        <v>5158559.2889999999</v>
      </c>
      <c r="AQ94" s="44">
        <f t="shared" si="16"/>
        <v>21388504.609000001</v>
      </c>
      <c r="AR94" s="44">
        <f t="shared" si="16"/>
        <v>9961280</v>
      </c>
      <c r="AS94" s="44">
        <f t="shared" si="16"/>
        <v>19296861</v>
      </c>
      <c r="AT94" s="44">
        <f t="shared" si="16"/>
        <v>4720047</v>
      </c>
      <c r="AU94" s="44">
        <f t="shared" si="16"/>
        <v>13717976</v>
      </c>
      <c r="AV94" s="44">
        <f t="shared" si="16"/>
        <v>15</v>
      </c>
      <c r="AW94" s="44">
        <f t="shared" si="16"/>
        <v>268</v>
      </c>
      <c r="AX94" s="44">
        <f t="shared" si="16"/>
        <v>8720845</v>
      </c>
      <c r="AY94" s="44">
        <f t="shared" si="16"/>
        <v>15099479</v>
      </c>
      <c r="AZ94" s="44"/>
      <c r="BA94" s="44"/>
      <c r="BB94" s="44">
        <f t="shared" si="16"/>
        <v>42759</v>
      </c>
      <c r="BC94" s="44">
        <f t="shared" si="16"/>
        <v>151684</v>
      </c>
      <c r="BD94" s="44">
        <f t="shared" si="16"/>
        <v>50417</v>
      </c>
      <c r="BE94" s="44">
        <f t="shared" si="16"/>
        <v>196079</v>
      </c>
      <c r="BF94" s="44">
        <f t="shared" si="16"/>
        <v>2316692</v>
      </c>
      <c r="BG94" s="44">
        <f t="shared" si="16"/>
        <v>6262739</v>
      </c>
      <c r="BH94" s="44">
        <f t="shared" si="16"/>
        <v>39691</v>
      </c>
      <c r="BI94" s="44">
        <f t="shared" si="16"/>
        <v>1775733</v>
      </c>
      <c r="BJ94" s="44">
        <f t="shared" si="16"/>
        <v>8053268</v>
      </c>
      <c r="BK94" s="44">
        <f t="shared" si="16"/>
        <v>28274152</v>
      </c>
      <c r="BL94" s="44">
        <f t="shared" si="16"/>
        <v>4363698</v>
      </c>
      <c r="BM94" s="44">
        <f t="shared" si="16"/>
        <v>10720628</v>
      </c>
      <c r="BN94" s="176">
        <f t="shared" si="16"/>
        <v>2626370</v>
      </c>
      <c r="BO94" s="176">
        <f t="shared" si="16"/>
        <v>12405492</v>
      </c>
      <c r="BP94" s="44">
        <f t="shared" si="16"/>
        <v>7146777</v>
      </c>
      <c r="BQ94" s="44">
        <f t="shared" si="16"/>
        <v>9678923</v>
      </c>
      <c r="BR94" s="44">
        <f>B94+D94+F94+H94+J94+L94+N94+P94+R94+T94+V94+X94+Z94+AB94+AD94+AF94+AH94+AJ94+AL94+AN94+AP94+AR94+AT94+AV94+AX94+BB94+BD94+BF94+BH94+BJ94+BL94+BN94+BP94</f>
        <v>78076029.649000004</v>
      </c>
      <c r="BS94" s="44">
        <f>C94+E94+G94+I94+K94+M94+O94+Q94+S94+U94+W94+Y94+AA94+AC94+AE94+AG94+AI94+AK94+AM94+AO94+AQ94+AS94+AU94+AW94+AY94+BC94+BE94+BG94+BI94+BK94+BM94+BO94+BQ94</f>
        <v>249000920.31900001</v>
      </c>
    </row>
    <row r="95" spans="1:71" x14ac:dyDescent="0.25">
      <c r="A95" s="107" t="s">
        <v>342</v>
      </c>
      <c r="B95" s="44">
        <f t="shared" ref="B95:BM95" si="17">B106-B62-B51-B40-B29-B18-B7-B73-B84</f>
        <v>0</v>
      </c>
      <c r="C95" s="44">
        <f t="shared" si="17"/>
        <v>0</v>
      </c>
      <c r="D95" s="44">
        <f t="shared" si="17"/>
        <v>0</v>
      </c>
      <c r="E95" s="44">
        <f t="shared" si="17"/>
        <v>0</v>
      </c>
      <c r="F95" s="44">
        <f t="shared" si="17"/>
        <v>21770</v>
      </c>
      <c r="G95" s="44">
        <f t="shared" si="17"/>
        <v>37255</v>
      </c>
      <c r="H95" s="44">
        <f t="shared" si="17"/>
        <v>0</v>
      </c>
      <c r="I95" s="44">
        <f t="shared" si="17"/>
        <v>0</v>
      </c>
      <c r="J95" s="44">
        <f t="shared" si="17"/>
        <v>-8092</v>
      </c>
      <c r="K95" s="44">
        <f t="shared" si="17"/>
        <v>0</v>
      </c>
      <c r="L95" s="44">
        <f t="shared" si="17"/>
        <v>0</v>
      </c>
      <c r="M95" s="44">
        <f t="shared" si="17"/>
        <v>-1</v>
      </c>
      <c r="N95" s="44">
        <f t="shared" si="17"/>
        <v>0</v>
      </c>
      <c r="O95" s="44">
        <f t="shared" si="17"/>
        <v>0</v>
      </c>
      <c r="P95" s="44">
        <f t="shared" si="17"/>
        <v>0</v>
      </c>
      <c r="Q95" s="44">
        <f t="shared" si="17"/>
        <v>0</v>
      </c>
      <c r="R95" s="44">
        <f t="shared" si="17"/>
        <v>0</v>
      </c>
      <c r="S95" s="44">
        <f t="shared" si="17"/>
        <v>0</v>
      </c>
      <c r="T95" s="44">
        <f t="shared" si="17"/>
        <v>0</v>
      </c>
      <c r="U95" s="44">
        <f t="shared" si="17"/>
        <v>0</v>
      </c>
      <c r="V95" s="44">
        <f t="shared" si="17"/>
        <v>0</v>
      </c>
      <c r="W95" s="44">
        <f t="shared" si="17"/>
        <v>0</v>
      </c>
      <c r="X95" s="44">
        <f t="shared" si="17"/>
        <v>-1219</v>
      </c>
      <c r="Y95" s="44">
        <f t="shared" si="17"/>
        <v>-45981</v>
      </c>
      <c r="Z95" s="44">
        <f t="shared" si="17"/>
        <v>47712</v>
      </c>
      <c r="AA95" s="44">
        <f t="shared" si="17"/>
        <v>47646</v>
      </c>
      <c r="AB95" s="44">
        <f t="shared" si="17"/>
        <v>-2000097</v>
      </c>
      <c r="AC95" s="44">
        <f t="shared" si="17"/>
        <v>0</v>
      </c>
      <c r="AD95" s="44">
        <f t="shared" si="17"/>
        <v>0</v>
      </c>
      <c r="AE95" s="44">
        <f t="shared" si="17"/>
        <v>0</v>
      </c>
      <c r="AF95" s="44">
        <f t="shared" si="17"/>
        <v>0</v>
      </c>
      <c r="AG95" s="44">
        <f t="shared" si="17"/>
        <v>3</v>
      </c>
      <c r="AH95" s="44">
        <f t="shared" si="17"/>
        <v>0</v>
      </c>
      <c r="AI95" s="44">
        <f t="shared" si="17"/>
        <v>0</v>
      </c>
      <c r="AJ95" s="44">
        <f t="shared" si="17"/>
        <v>-1</v>
      </c>
      <c r="AK95" s="44">
        <f t="shared" si="17"/>
        <v>0</v>
      </c>
      <c r="AL95" s="44">
        <f t="shared" si="17"/>
        <v>0</v>
      </c>
      <c r="AM95" s="44">
        <f t="shared" si="17"/>
        <v>0</v>
      </c>
      <c r="AN95" s="44">
        <f t="shared" si="17"/>
        <v>0</v>
      </c>
      <c r="AO95" s="44">
        <f t="shared" si="17"/>
        <v>0</v>
      </c>
      <c r="AP95" s="44">
        <f t="shared" si="17"/>
        <v>223451.72400000013</v>
      </c>
      <c r="AQ95" s="44">
        <f t="shared" si="17"/>
        <v>280554.3029999999</v>
      </c>
      <c r="AR95" s="44">
        <f t="shared" si="17"/>
        <v>0</v>
      </c>
      <c r="AS95" s="44">
        <f t="shared" si="17"/>
        <v>0</v>
      </c>
      <c r="AT95" s="44">
        <f t="shared" si="17"/>
        <v>-135620</v>
      </c>
      <c r="AU95" s="44">
        <f t="shared" si="17"/>
        <v>249746</v>
      </c>
      <c r="AV95" s="44">
        <f t="shared" si="17"/>
        <v>0</v>
      </c>
      <c r="AW95" s="44">
        <f t="shared" si="17"/>
        <v>661</v>
      </c>
      <c r="AX95" s="44">
        <f t="shared" si="17"/>
        <v>-17912</v>
      </c>
      <c r="AY95" s="44">
        <f t="shared" si="17"/>
        <v>-510702</v>
      </c>
      <c r="AZ95" s="44">
        <f t="shared" si="17"/>
        <v>0</v>
      </c>
      <c r="BA95" s="44">
        <f t="shared" si="17"/>
        <v>0</v>
      </c>
      <c r="BB95" s="44">
        <f t="shared" si="17"/>
        <v>0</v>
      </c>
      <c r="BC95" s="44">
        <f t="shared" si="17"/>
        <v>0</v>
      </c>
      <c r="BD95" s="44">
        <f t="shared" si="17"/>
        <v>0</v>
      </c>
      <c r="BE95" s="44">
        <f t="shared" si="17"/>
        <v>0</v>
      </c>
      <c r="BF95" s="44">
        <f t="shared" si="17"/>
        <v>0</v>
      </c>
      <c r="BG95" s="44">
        <f t="shared" si="17"/>
        <v>0</v>
      </c>
      <c r="BH95" s="44">
        <f t="shared" si="17"/>
        <v>-1</v>
      </c>
      <c r="BI95" s="44">
        <f t="shared" si="17"/>
        <v>0</v>
      </c>
      <c r="BJ95" s="44">
        <f t="shared" si="17"/>
        <v>0</v>
      </c>
      <c r="BK95" s="44">
        <f t="shared" si="17"/>
        <v>81</v>
      </c>
      <c r="BL95" s="44">
        <f t="shared" si="17"/>
        <v>0</v>
      </c>
      <c r="BM95" s="44">
        <f t="shared" si="17"/>
        <v>0</v>
      </c>
      <c r="BN95" s="44">
        <f t="shared" ref="BN95:BQ95" si="18">BN106-BN62-BN51-BN40-BN29-BN18-BN7-BN73-BN84</f>
        <v>92713</v>
      </c>
      <c r="BO95" s="44">
        <f t="shared" si="18"/>
        <v>599867</v>
      </c>
      <c r="BP95" s="44">
        <f t="shared" si="18"/>
        <v>-84926</v>
      </c>
      <c r="BQ95" s="44">
        <f t="shared" si="18"/>
        <v>0</v>
      </c>
      <c r="BR95" s="44">
        <f t="shared" ref="BR95:BR99" si="19">B95+D95+F95+H95+J95+L95+N95+P95+R95+T95+V95+X95+Z95+AB95+AD95+AF95+AH95+AJ95+AL95+AN95+AP95+AR95+AT95+AV95+AX95+BB95+BD95+BF95+BH95+BJ95+BL95+BN95+BP95</f>
        <v>-1862221.2759999998</v>
      </c>
      <c r="BS95" s="44">
        <f t="shared" ref="BS95:BS99" si="20">C95+E95+G95+I95+K95+M95+O95+Q95+S95+U95+W95+Y95+AA95+AC95+AE95+AG95+AI95+AK95+AM95+AO95+AQ95+AS95+AU95+AW95+AY95+BC95+BE95+BG95+BI95+BK95+BM95+BO95+BQ95</f>
        <v>659129.30299999984</v>
      </c>
    </row>
    <row r="96" spans="1:71" x14ac:dyDescent="0.25">
      <c r="A96" s="107" t="s">
        <v>343</v>
      </c>
      <c r="B96" s="44">
        <f t="shared" ref="B96:BM96" si="21">B107-B63-B52-B41-B30-B19-B8-B74-B85</f>
        <v>0</v>
      </c>
      <c r="C96" s="44">
        <f t="shared" si="21"/>
        <v>0</v>
      </c>
      <c r="D96" s="44">
        <f t="shared" si="21"/>
        <v>0</v>
      </c>
      <c r="E96" s="44">
        <f t="shared" si="21"/>
        <v>0</v>
      </c>
      <c r="F96" s="44">
        <f t="shared" si="21"/>
        <v>13633190</v>
      </c>
      <c r="G96" s="44">
        <f t="shared" si="21"/>
        <v>70895203</v>
      </c>
      <c r="H96" s="44">
        <f t="shared" si="21"/>
        <v>4458</v>
      </c>
      <c r="I96" s="44">
        <f t="shared" si="21"/>
        <v>18542</v>
      </c>
      <c r="J96" s="44">
        <f t="shared" si="21"/>
        <v>1686318</v>
      </c>
      <c r="K96" s="44">
        <f t="shared" si="21"/>
        <v>10174107</v>
      </c>
      <c r="L96" s="44">
        <f t="shared" si="21"/>
        <v>1197474</v>
      </c>
      <c r="M96" s="44">
        <f t="shared" si="21"/>
        <v>1925250</v>
      </c>
      <c r="N96" s="44">
        <f t="shared" si="21"/>
        <v>41496</v>
      </c>
      <c r="O96" s="44">
        <f t="shared" si="21"/>
        <v>4961195</v>
      </c>
      <c r="P96" s="44">
        <f t="shared" si="21"/>
        <v>15</v>
      </c>
      <c r="Q96" s="44">
        <f t="shared" si="21"/>
        <v>22</v>
      </c>
      <c r="R96" s="44">
        <f t="shared" si="21"/>
        <v>0</v>
      </c>
      <c r="S96" s="44">
        <f t="shared" si="21"/>
        <v>0</v>
      </c>
      <c r="T96" s="44">
        <f t="shared" si="21"/>
        <v>30</v>
      </c>
      <c r="U96" s="44">
        <f t="shared" si="21"/>
        <v>30</v>
      </c>
      <c r="V96" s="44">
        <f t="shared" si="21"/>
        <v>1566788.4</v>
      </c>
      <c r="W96" s="44">
        <f t="shared" si="21"/>
        <v>2927068.13</v>
      </c>
      <c r="X96" s="44">
        <f t="shared" si="21"/>
        <v>-580241</v>
      </c>
      <c r="Y96" s="44">
        <f t="shared" si="21"/>
        <v>-1928542</v>
      </c>
      <c r="Z96" s="44">
        <f t="shared" si="21"/>
        <v>21144</v>
      </c>
      <c r="AA96" s="44">
        <f t="shared" si="21"/>
        <v>21444</v>
      </c>
      <c r="AB96" s="44">
        <f t="shared" si="21"/>
        <v>0</v>
      </c>
      <c r="AC96" s="44">
        <f t="shared" si="21"/>
        <v>0</v>
      </c>
      <c r="AD96" s="44">
        <f t="shared" si="21"/>
        <v>0</v>
      </c>
      <c r="AE96" s="44">
        <f t="shared" si="21"/>
        <v>0</v>
      </c>
      <c r="AF96" s="44">
        <f t="shared" si="21"/>
        <v>4363443</v>
      </c>
      <c r="AG96" s="44">
        <f t="shared" si="21"/>
        <v>14453558</v>
      </c>
      <c r="AH96" s="44">
        <f t="shared" si="21"/>
        <v>-9249</v>
      </c>
      <c r="AI96" s="44">
        <f t="shared" si="21"/>
        <v>979</v>
      </c>
      <c r="AJ96" s="44">
        <f t="shared" si="21"/>
        <v>5707</v>
      </c>
      <c r="AK96" s="44">
        <f t="shared" si="21"/>
        <v>22504</v>
      </c>
      <c r="AL96" s="44">
        <f t="shared" si="21"/>
        <v>0</v>
      </c>
      <c r="AM96" s="44">
        <f t="shared" si="21"/>
        <v>0</v>
      </c>
      <c r="AN96" s="44">
        <f t="shared" si="21"/>
        <v>0</v>
      </c>
      <c r="AO96" s="44">
        <f t="shared" si="21"/>
        <v>0</v>
      </c>
      <c r="AP96" s="44">
        <f t="shared" si="21"/>
        <v>4778278.1229999997</v>
      </c>
      <c r="AQ96" s="44">
        <f t="shared" si="21"/>
        <v>14247078.245999996</v>
      </c>
      <c r="AR96" s="44">
        <f t="shared" si="21"/>
        <v>0</v>
      </c>
      <c r="AS96" s="44">
        <f t="shared" si="21"/>
        <v>0</v>
      </c>
      <c r="AT96" s="44">
        <f t="shared" si="21"/>
        <v>17896551</v>
      </c>
      <c r="AU96" s="44">
        <f t="shared" si="21"/>
        <v>25835884</v>
      </c>
      <c r="AV96" s="44">
        <f t="shared" si="21"/>
        <v>260</v>
      </c>
      <c r="AW96" s="44">
        <f t="shared" si="21"/>
        <v>-2601</v>
      </c>
      <c r="AX96" s="44">
        <f t="shared" si="21"/>
        <v>-2124866</v>
      </c>
      <c r="AY96" s="44">
        <f t="shared" si="21"/>
        <v>-7669277</v>
      </c>
      <c r="AZ96" s="44">
        <f t="shared" si="21"/>
        <v>-1</v>
      </c>
      <c r="BA96" s="44">
        <f t="shared" si="21"/>
        <v>-1</v>
      </c>
      <c r="BB96" s="44">
        <f t="shared" si="21"/>
        <v>0</v>
      </c>
      <c r="BC96" s="44">
        <f t="shared" si="21"/>
        <v>0</v>
      </c>
      <c r="BD96" s="44">
        <f t="shared" si="21"/>
        <v>-40174</v>
      </c>
      <c r="BE96" s="44">
        <f t="shared" si="21"/>
        <v>-153708</v>
      </c>
      <c r="BF96" s="44">
        <f t="shared" si="21"/>
        <v>1837520</v>
      </c>
      <c r="BG96" s="44">
        <f t="shared" si="21"/>
        <v>4969374</v>
      </c>
      <c r="BH96" s="44">
        <f t="shared" si="21"/>
        <v>30208</v>
      </c>
      <c r="BI96" s="44">
        <f t="shared" si="21"/>
        <v>1589827</v>
      </c>
      <c r="BJ96" s="44">
        <f t="shared" si="21"/>
        <v>2474365</v>
      </c>
      <c r="BK96" s="44">
        <f t="shared" si="21"/>
        <v>6877143</v>
      </c>
      <c r="BL96" s="44">
        <f t="shared" si="21"/>
        <v>2315314</v>
      </c>
      <c r="BM96" s="44">
        <f t="shared" si="21"/>
        <v>7264466</v>
      </c>
      <c r="BN96" s="44">
        <f t="shared" ref="BN96:BQ96" si="22">BN107-BN63-BN52-BN41-BN30-BN19-BN8-BN74-BN85</f>
        <v>785668</v>
      </c>
      <c r="BO96" s="44">
        <f t="shared" si="22"/>
        <v>7309277</v>
      </c>
      <c r="BP96" s="44">
        <f t="shared" si="22"/>
        <v>5402690</v>
      </c>
      <c r="BQ96" s="44">
        <f t="shared" si="22"/>
        <v>7991214</v>
      </c>
      <c r="BR96" s="44">
        <f t="shared" si="19"/>
        <v>55286387.523000002</v>
      </c>
      <c r="BS96" s="44">
        <f t="shared" si="20"/>
        <v>171730037.37599999</v>
      </c>
    </row>
    <row r="97" spans="1:71" x14ac:dyDescent="0.25">
      <c r="A97" s="107" t="s">
        <v>344</v>
      </c>
      <c r="B97" s="44">
        <f t="shared" ref="B97:BM97" si="23">B108-B64-B53-B42-B31-B20-B9-B75-B86</f>
        <v>0</v>
      </c>
      <c r="C97" s="44">
        <f t="shared" si="23"/>
        <v>0</v>
      </c>
      <c r="D97" s="44">
        <f t="shared" si="23"/>
        <v>0</v>
      </c>
      <c r="E97" s="44">
        <f t="shared" si="23"/>
        <v>0</v>
      </c>
      <c r="F97" s="44">
        <f t="shared" si="23"/>
        <v>0</v>
      </c>
      <c r="G97" s="44">
        <f t="shared" si="23"/>
        <v>0</v>
      </c>
      <c r="H97" s="44">
        <f t="shared" si="23"/>
        <v>0</v>
      </c>
      <c r="I97" s="44">
        <f t="shared" si="23"/>
        <v>0</v>
      </c>
      <c r="J97" s="44">
        <f t="shared" si="23"/>
        <v>0</v>
      </c>
      <c r="K97" s="44">
        <f t="shared" si="23"/>
        <v>0</v>
      </c>
      <c r="L97" s="44">
        <f t="shared" si="23"/>
        <v>0</v>
      </c>
      <c r="M97" s="44">
        <f t="shared" si="23"/>
        <v>0</v>
      </c>
      <c r="N97" s="44">
        <f t="shared" si="23"/>
        <v>0</v>
      </c>
      <c r="O97" s="44">
        <f t="shared" si="23"/>
        <v>0</v>
      </c>
      <c r="P97" s="44">
        <f t="shared" si="23"/>
        <v>0</v>
      </c>
      <c r="Q97" s="44">
        <f t="shared" si="23"/>
        <v>0</v>
      </c>
      <c r="R97" s="44">
        <f t="shared" si="23"/>
        <v>0</v>
      </c>
      <c r="S97" s="44">
        <f t="shared" si="23"/>
        <v>0</v>
      </c>
      <c r="T97" s="44">
        <f t="shared" si="23"/>
        <v>0</v>
      </c>
      <c r="U97" s="44">
        <f t="shared" si="23"/>
        <v>0</v>
      </c>
      <c r="V97" s="44">
        <f t="shared" si="23"/>
        <v>0</v>
      </c>
      <c r="W97" s="44">
        <f t="shared" si="23"/>
        <v>0</v>
      </c>
      <c r="X97" s="44">
        <f t="shared" si="23"/>
        <v>0</v>
      </c>
      <c r="Y97" s="44">
        <f t="shared" si="23"/>
        <v>0</v>
      </c>
      <c r="Z97" s="44">
        <f t="shared" si="23"/>
        <v>0</v>
      </c>
      <c r="AA97" s="44">
        <f t="shared" si="23"/>
        <v>0</v>
      </c>
      <c r="AB97" s="44">
        <f t="shared" si="23"/>
        <v>0</v>
      </c>
      <c r="AC97" s="44">
        <f t="shared" si="23"/>
        <v>0</v>
      </c>
      <c r="AD97" s="44">
        <f t="shared" si="23"/>
        <v>0</v>
      </c>
      <c r="AE97" s="44">
        <f t="shared" si="23"/>
        <v>0</v>
      </c>
      <c r="AF97" s="44">
        <f t="shared" si="23"/>
        <v>0</v>
      </c>
      <c r="AG97" s="44">
        <f t="shared" si="23"/>
        <v>0</v>
      </c>
      <c r="AH97" s="44">
        <f t="shared" si="23"/>
        <v>0</v>
      </c>
      <c r="AI97" s="44">
        <f t="shared" si="23"/>
        <v>0</v>
      </c>
      <c r="AJ97" s="44">
        <f t="shared" si="23"/>
        <v>0</v>
      </c>
      <c r="AK97" s="44">
        <f t="shared" si="23"/>
        <v>0</v>
      </c>
      <c r="AL97" s="44">
        <f t="shared" si="23"/>
        <v>0</v>
      </c>
      <c r="AM97" s="44">
        <f t="shared" si="23"/>
        <v>0</v>
      </c>
      <c r="AN97" s="44">
        <f t="shared" si="23"/>
        <v>0</v>
      </c>
      <c r="AO97" s="44">
        <f t="shared" si="23"/>
        <v>0</v>
      </c>
      <c r="AP97" s="44">
        <f t="shared" si="23"/>
        <v>0</v>
      </c>
      <c r="AQ97" s="44">
        <f t="shared" si="23"/>
        <v>0</v>
      </c>
      <c r="AR97" s="44">
        <f t="shared" si="23"/>
        <v>0</v>
      </c>
      <c r="AS97" s="44">
        <f t="shared" si="23"/>
        <v>0</v>
      </c>
      <c r="AT97" s="44">
        <f t="shared" si="23"/>
        <v>0</v>
      </c>
      <c r="AU97" s="44">
        <f t="shared" si="23"/>
        <v>0</v>
      </c>
      <c r="AV97" s="44">
        <f t="shared" si="23"/>
        <v>0</v>
      </c>
      <c r="AW97" s="44">
        <f t="shared" si="23"/>
        <v>0</v>
      </c>
      <c r="AX97" s="44">
        <f t="shared" si="23"/>
        <v>0</v>
      </c>
      <c r="AY97" s="44">
        <f t="shared" si="23"/>
        <v>0</v>
      </c>
      <c r="AZ97" s="44">
        <f t="shared" si="23"/>
        <v>0</v>
      </c>
      <c r="BA97" s="44">
        <f t="shared" si="23"/>
        <v>0</v>
      </c>
      <c r="BB97" s="44">
        <f t="shared" si="23"/>
        <v>0</v>
      </c>
      <c r="BC97" s="44">
        <f t="shared" si="23"/>
        <v>0</v>
      </c>
      <c r="BD97" s="44">
        <f t="shared" si="23"/>
        <v>0</v>
      </c>
      <c r="BE97" s="44">
        <f t="shared" si="23"/>
        <v>0</v>
      </c>
      <c r="BF97" s="44">
        <f t="shared" si="23"/>
        <v>0</v>
      </c>
      <c r="BG97" s="44">
        <f t="shared" si="23"/>
        <v>0</v>
      </c>
      <c r="BH97" s="44">
        <f t="shared" si="23"/>
        <v>0</v>
      </c>
      <c r="BI97" s="44">
        <f t="shared" si="23"/>
        <v>0</v>
      </c>
      <c r="BJ97" s="44">
        <f t="shared" si="23"/>
        <v>0</v>
      </c>
      <c r="BK97" s="44">
        <f t="shared" si="23"/>
        <v>0</v>
      </c>
      <c r="BL97" s="44">
        <f t="shared" si="23"/>
        <v>0</v>
      </c>
      <c r="BM97" s="44">
        <f t="shared" si="23"/>
        <v>0</v>
      </c>
      <c r="BN97" s="44">
        <f t="shared" ref="BN97:BQ97" si="24">BN108-BN64-BN53-BN42-BN31-BN20-BN9-BN75-BN86</f>
        <v>0</v>
      </c>
      <c r="BO97" s="44">
        <f t="shared" si="24"/>
        <v>0</v>
      </c>
      <c r="BP97" s="44">
        <f t="shared" si="24"/>
        <v>0</v>
      </c>
      <c r="BQ97" s="44">
        <f t="shared" si="24"/>
        <v>0</v>
      </c>
      <c r="BR97" s="44">
        <f t="shared" si="19"/>
        <v>0</v>
      </c>
      <c r="BS97" s="44">
        <f t="shared" si="20"/>
        <v>0</v>
      </c>
    </row>
    <row r="98" spans="1:71" ht="15" customHeight="1" x14ac:dyDescent="0.25">
      <c r="A98" s="107" t="s">
        <v>345</v>
      </c>
      <c r="B98" s="44">
        <f t="shared" ref="B98:BM98" si="25">B109-B65-B54-B43-B32-B21-B10-B76-B87</f>
        <v>1</v>
      </c>
      <c r="C98" s="44">
        <f t="shared" si="25"/>
        <v>0</v>
      </c>
      <c r="D98" s="44">
        <f t="shared" si="25"/>
        <v>0</v>
      </c>
      <c r="E98" s="44">
        <f t="shared" si="25"/>
        <v>0</v>
      </c>
      <c r="F98" s="44">
        <f t="shared" si="25"/>
        <v>-2759447</v>
      </c>
      <c r="G98" s="44">
        <f t="shared" si="25"/>
        <v>27005967</v>
      </c>
      <c r="H98" s="44">
        <f t="shared" si="25"/>
        <v>139503</v>
      </c>
      <c r="I98" s="44">
        <f t="shared" si="25"/>
        <v>139503</v>
      </c>
      <c r="J98" s="44">
        <f t="shared" si="25"/>
        <v>1488127</v>
      </c>
      <c r="K98" s="44">
        <f t="shared" si="25"/>
        <v>4978768</v>
      </c>
      <c r="L98" s="44">
        <f t="shared" si="25"/>
        <v>-213665</v>
      </c>
      <c r="M98" s="44">
        <f t="shared" si="25"/>
        <v>811846</v>
      </c>
      <c r="N98" s="44">
        <f t="shared" si="25"/>
        <v>305829</v>
      </c>
      <c r="O98" s="44">
        <f t="shared" si="25"/>
        <v>888146</v>
      </c>
      <c r="P98" s="44">
        <f t="shared" si="25"/>
        <v>2076</v>
      </c>
      <c r="Q98" s="44">
        <f t="shared" si="25"/>
        <v>2076</v>
      </c>
      <c r="R98" s="44">
        <f t="shared" si="25"/>
        <v>0</v>
      </c>
      <c r="S98" s="44">
        <f t="shared" si="25"/>
        <v>0</v>
      </c>
      <c r="T98" s="44">
        <f t="shared" si="25"/>
        <v>342</v>
      </c>
      <c r="U98" s="44">
        <f t="shared" si="25"/>
        <v>342</v>
      </c>
      <c r="V98" s="44">
        <f t="shared" si="25"/>
        <v>-628249.06000000006</v>
      </c>
      <c r="W98" s="44">
        <f t="shared" si="25"/>
        <v>58777165.600000001</v>
      </c>
      <c r="X98" s="44">
        <f t="shared" si="25"/>
        <v>-17918040</v>
      </c>
      <c r="Y98" s="44">
        <f t="shared" si="25"/>
        <v>-17918040</v>
      </c>
      <c r="Z98" s="44">
        <f t="shared" si="25"/>
        <v>968187</v>
      </c>
      <c r="AA98" s="44">
        <f t="shared" si="25"/>
        <v>1044260</v>
      </c>
      <c r="AB98" s="44">
        <f t="shared" si="25"/>
        <v>14721185</v>
      </c>
      <c r="AC98" s="44">
        <f t="shared" si="25"/>
        <v>14721185</v>
      </c>
      <c r="AD98" s="44">
        <f t="shared" si="25"/>
        <v>37557408</v>
      </c>
      <c r="AE98" s="44">
        <f t="shared" si="25"/>
        <v>37557408</v>
      </c>
      <c r="AF98" s="44">
        <f t="shared" si="25"/>
        <v>-805154</v>
      </c>
      <c r="AG98" s="44">
        <f t="shared" si="25"/>
        <v>2595250</v>
      </c>
      <c r="AH98" s="44">
        <f t="shared" si="25"/>
        <v>3939</v>
      </c>
      <c r="AI98" s="44">
        <f t="shared" si="25"/>
        <v>3939</v>
      </c>
      <c r="AJ98" s="44">
        <f t="shared" si="25"/>
        <v>293906</v>
      </c>
      <c r="AK98" s="44">
        <f t="shared" si="25"/>
        <v>293906</v>
      </c>
      <c r="AL98" s="44">
        <f t="shared" si="25"/>
        <v>-823280</v>
      </c>
      <c r="AM98" s="44">
        <f t="shared" si="25"/>
        <v>1907450</v>
      </c>
      <c r="AN98" s="44">
        <f t="shared" si="25"/>
        <v>0</v>
      </c>
      <c r="AO98" s="44">
        <f t="shared" si="25"/>
        <v>0</v>
      </c>
      <c r="AP98" s="44">
        <f t="shared" si="25"/>
        <v>888404.83600000408</v>
      </c>
      <c r="AQ98" s="44">
        <f t="shared" si="25"/>
        <v>8279088.2980000246</v>
      </c>
      <c r="AR98" s="44">
        <f t="shared" si="25"/>
        <v>24113790</v>
      </c>
      <c r="AS98" s="44">
        <f t="shared" si="25"/>
        <v>24113790</v>
      </c>
      <c r="AT98" s="44">
        <f t="shared" si="25"/>
        <v>17363425</v>
      </c>
      <c r="AU98" s="44">
        <f t="shared" si="25"/>
        <v>29747706</v>
      </c>
      <c r="AV98" s="44">
        <f t="shared" si="25"/>
        <v>36306</v>
      </c>
      <c r="AW98" s="44">
        <f t="shared" si="25"/>
        <v>342025</v>
      </c>
      <c r="AX98" s="44">
        <f t="shared" si="25"/>
        <v>2063061</v>
      </c>
      <c r="AY98" s="44">
        <f t="shared" si="25"/>
        <v>2012600</v>
      </c>
      <c r="AZ98" s="44">
        <f t="shared" si="25"/>
        <v>-1710</v>
      </c>
      <c r="BA98" s="44">
        <f t="shared" si="25"/>
        <v>-1817</v>
      </c>
      <c r="BB98" s="44">
        <f t="shared" si="25"/>
        <v>0</v>
      </c>
      <c r="BC98" s="44">
        <f t="shared" si="25"/>
        <v>0</v>
      </c>
      <c r="BD98" s="44">
        <f t="shared" si="25"/>
        <v>-113962</v>
      </c>
      <c r="BE98" s="44">
        <f t="shared" si="25"/>
        <v>2715942</v>
      </c>
      <c r="BF98" s="44">
        <f t="shared" si="25"/>
        <v>3063547</v>
      </c>
      <c r="BG98" s="44">
        <f t="shared" si="25"/>
        <v>3063547</v>
      </c>
      <c r="BH98" s="44">
        <f t="shared" si="25"/>
        <v>178886</v>
      </c>
      <c r="BI98" s="44">
        <f t="shared" si="25"/>
        <v>178885</v>
      </c>
      <c r="BJ98" s="44">
        <f t="shared" si="25"/>
        <v>3622874</v>
      </c>
      <c r="BK98" s="44">
        <f t="shared" si="25"/>
        <v>3622874</v>
      </c>
      <c r="BL98" s="44">
        <f t="shared" si="25"/>
        <v>5257426</v>
      </c>
      <c r="BM98" s="44">
        <f t="shared" si="25"/>
        <v>5257426</v>
      </c>
      <c r="BN98" s="44">
        <f t="shared" ref="BN98:BQ98" si="26">BN109-BN65-BN54-BN43-BN32-BN21-BN10-BN76-BN87</f>
        <v>6070684</v>
      </c>
      <c r="BO98" s="44">
        <f t="shared" si="26"/>
        <v>6070685</v>
      </c>
      <c r="BP98" s="44">
        <f t="shared" si="26"/>
        <v>-2349112</v>
      </c>
      <c r="BQ98" s="44">
        <f t="shared" si="26"/>
        <v>8609547</v>
      </c>
      <c r="BR98" s="44">
        <f t="shared" si="19"/>
        <v>92527997.775999993</v>
      </c>
      <c r="BS98" s="44">
        <f t="shared" si="20"/>
        <v>226823286.89800003</v>
      </c>
    </row>
    <row r="99" spans="1:71" ht="15" customHeight="1" x14ac:dyDescent="0.25">
      <c r="A99" s="107" t="s">
        <v>346</v>
      </c>
      <c r="B99" s="44">
        <f t="shared" ref="B99:BM99" si="27">B110-B66-B55-B44-B33-B22-B11-B77-B88</f>
        <v>0</v>
      </c>
      <c r="C99" s="44">
        <f t="shared" si="27"/>
        <v>0</v>
      </c>
      <c r="D99" s="44">
        <f t="shared" si="27"/>
        <v>0</v>
      </c>
      <c r="E99" s="44">
        <f t="shared" si="27"/>
        <v>0</v>
      </c>
      <c r="F99" s="44">
        <f t="shared" si="27"/>
        <v>0</v>
      </c>
      <c r="G99" s="44">
        <f t="shared" si="27"/>
        <v>0</v>
      </c>
      <c r="H99" s="44">
        <f t="shared" si="27"/>
        <v>146677</v>
      </c>
      <c r="I99" s="44">
        <f t="shared" si="27"/>
        <v>94816</v>
      </c>
      <c r="J99" s="44">
        <f t="shared" si="27"/>
        <v>0</v>
      </c>
      <c r="K99" s="44">
        <f t="shared" si="27"/>
        <v>6788240</v>
      </c>
      <c r="L99" s="44">
        <f t="shared" si="27"/>
        <v>0</v>
      </c>
      <c r="M99" s="44">
        <f t="shared" si="27"/>
        <v>640939</v>
      </c>
      <c r="N99" s="44">
        <f t="shared" si="27"/>
        <v>-1</v>
      </c>
      <c r="O99" s="44">
        <f t="shared" si="27"/>
        <v>938764</v>
      </c>
      <c r="P99" s="44">
        <f t="shared" si="27"/>
        <v>1599</v>
      </c>
      <c r="Q99" s="44">
        <f t="shared" si="27"/>
        <v>0</v>
      </c>
      <c r="R99" s="44">
        <f t="shared" si="27"/>
        <v>0</v>
      </c>
      <c r="S99" s="44">
        <f t="shared" si="27"/>
        <v>0</v>
      </c>
      <c r="T99" s="44">
        <f t="shared" si="27"/>
        <v>0</v>
      </c>
      <c r="U99" s="44">
        <f t="shared" si="27"/>
        <v>0</v>
      </c>
      <c r="V99" s="44">
        <f t="shared" si="27"/>
        <v>0</v>
      </c>
      <c r="W99" s="44">
        <f t="shared" si="27"/>
        <v>53458846.990000002</v>
      </c>
      <c r="X99" s="44">
        <f t="shared" si="27"/>
        <v>-16933558</v>
      </c>
      <c r="Y99" s="44">
        <f t="shared" si="27"/>
        <v>-15581734</v>
      </c>
      <c r="Z99" s="44">
        <f t="shared" si="27"/>
        <v>0</v>
      </c>
      <c r="AA99" s="44">
        <f t="shared" si="27"/>
        <v>-1263</v>
      </c>
      <c r="AB99" s="44">
        <f t="shared" si="27"/>
        <v>-17129199</v>
      </c>
      <c r="AC99" s="44">
        <f t="shared" si="27"/>
        <v>-15232112</v>
      </c>
      <c r="AD99" s="44">
        <f t="shared" si="27"/>
        <v>39061558</v>
      </c>
      <c r="AE99" s="44">
        <f t="shared" si="27"/>
        <v>51166794</v>
      </c>
      <c r="AF99" s="44">
        <f t="shared" si="27"/>
        <v>0</v>
      </c>
      <c r="AG99" s="44">
        <f t="shared" si="27"/>
        <v>3157432</v>
      </c>
      <c r="AH99" s="44">
        <f t="shared" si="27"/>
        <v>3230</v>
      </c>
      <c r="AI99" s="44">
        <f t="shared" si="27"/>
        <v>1328</v>
      </c>
      <c r="AJ99" s="44">
        <f t="shared" si="27"/>
        <v>195023</v>
      </c>
      <c r="AK99" s="44">
        <f t="shared" si="27"/>
        <v>163984</v>
      </c>
      <c r="AL99" s="44">
        <f t="shared" si="27"/>
        <v>925811</v>
      </c>
      <c r="AM99" s="44">
        <f t="shared" si="27"/>
        <v>6987</v>
      </c>
      <c r="AN99" s="44">
        <f t="shared" si="27"/>
        <v>0</v>
      </c>
      <c r="AO99" s="44">
        <f t="shared" si="27"/>
        <v>0</v>
      </c>
      <c r="AP99" s="44">
        <f t="shared" si="27"/>
        <v>-30484535.390999991</v>
      </c>
      <c r="AQ99" s="44">
        <f t="shared" si="27"/>
        <v>15632079.475999981</v>
      </c>
      <c r="AR99" s="44">
        <f t="shared" si="27"/>
        <v>28805569</v>
      </c>
      <c r="AS99" s="44">
        <f t="shared" si="27"/>
        <v>19370978</v>
      </c>
      <c r="AT99" s="44">
        <f t="shared" si="27"/>
        <v>0</v>
      </c>
      <c r="AU99" s="44">
        <f t="shared" si="27"/>
        <v>8890047</v>
      </c>
      <c r="AV99" s="44">
        <f t="shared" si="27"/>
        <v>0</v>
      </c>
      <c r="AW99" s="44">
        <f t="shared" si="27"/>
        <v>223300</v>
      </c>
      <c r="AX99" s="44">
        <f t="shared" si="27"/>
        <v>3530239</v>
      </c>
      <c r="AY99" s="44">
        <f t="shared" si="27"/>
        <v>2845184</v>
      </c>
      <c r="AZ99" s="44">
        <f t="shared" si="27"/>
        <v>0</v>
      </c>
      <c r="BA99" s="44">
        <f t="shared" si="27"/>
        <v>0</v>
      </c>
      <c r="BB99" s="44">
        <f t="shared" si="27"/>
        <v>0</v>
      </c>
      <c r="BC99" s="44">
        <f t="shared" si="27"/>
        <v>0</v>
      </c>
      <c r="BD99" s="44">
        <f t="shared" si="27"/>
        <v>0</v>
      </c>
      <c r="BE99" s="44">
        <f t="shared" si="27"/>
        <v>-96590</v>
      </c>
      <c r="BF99" s="44">
        <f t="shared" si="27"/>
        <v>3072812</v>
      </c>
      <c r="BG99" s="44">
        <f t="shared" si="27"/>
        <v>1677887</v>
      </c>
      <c r="BH99" s="44">
        <f t="shared" si="27"/>
        <v>158207</v>
      </c>
      <c r="BI99" s="44">
        <f t="shared" si="27"/>
        <v>293340</v>
      </c>
      <c r="BJ99" s="44">
        <f t="shared" si="27"/>
        <v>2737654</v>
      </c>
      <c r="BK99" s="44">
        <f t="shared" si="27"/>
        <v>2044069</v>
      </c>
      <c r="BL99" s="44">
        <f t="shared" si="27"/>
        <v>4688069</v>
      </c>
      <c r="BM99" s="44">
        <f t="shared" si="27"/>
        <v>1660590</v>
      </c>
      <c r="BN99" s="44">
        <f t="shared" ref="BN99:BQ99" si="28">BN110-BN66-BN55-BN44-BN33-BN22-BN11-BN77-BN88</f>
        <v>5629047</v>
      </c>
      <c r="BO99" s="44">
        <f t="shared" si="28"/>
        <v>6153686</v>
      </c>
      <c r="BP99" s="44">
        <f t="shared" si="28"/>
        <v>-7171820</v>
      </c>
      <c r="BQ99" s="44">
        <f t="shared" si="28"/>
        <v>1229598</v>
      </c>
      <c r="BR99" s="44">
        <f t="shared" si="19"/>
        <v>17236381.609000009</v>
      </c>
      <c r="BS99" s="44">
        <f t="shared" si="20"/>
        <v>145527190.46599999</v>
      </c>
    </row>
    <row r="100" spans="1:71" x14ac:dyDescent="0.25">
      <c r="A100" s="107" t="s">
        <v>347</v>
      </c>
      <c r="B100" s="44">
        <f>B111-B67-B56-B45-B34-B23-B12-B78-B89</f>
        <v>0</v>
      </c>
      <c r="C100" s="44">
        <f>C111-C67-C56-C45-C34-C23-C12-C78-C89</f>
        <v>0</v>
      </c>
      <c r="D100" s="44"/>
      <c r="E100" s="44"/>
      <c r="F100" s="44"/>
      <c r="G100" s="44"/>
      <c r="H100" s="44">
        <f t="shared" ref="H100:K100" si="29">H111-H67-H56-H45-H34-H23-H12-H78-H89</f>
        <v>25076</v>
      </c>
      <c r="I100" s="44">
        <f t="shared" si="29"/>
        <v>145065</v>
      </c>
      <c r="J100" s="44">
        <f t="shared" si="29"/>
        <v>2838330</v>
      </c>
      <c r="K100" s="44">
        <f t="shared" si="29"/>
        <v>3467766</v>
      </c>
      <c r="L100" s="44">
        <f t="shared" ref="L100:BQ100" si="30">L111-L67-L56-L45-L34-L23-L12-L78-L89</f>
        <v>105188</v>
      </c>
      <c r="M100" s="44">
        <f t="shared" si="30"/>
        <v>716234</v>
      </c>
      <c r="N100" s="44">
        <f t="shared" si="30"/>
        <v>398560</v>
      </c>
      <c r="O100" s="44">
        <f t="shared" si="30"/>
        <v>1011349</v>
      </c>
      <c r="P100" s="44">
        <f t="shared" si="30"/>
        <v>747</v>
      </c>
      <c r="Q100" s="44">
        <f t="shared" si="30"/>
        <v>2507</v>
      </c>
      <c r="R100" s="44">
        <f t="shared" si="30"/>
        <v>574</v>
      </c>
      <c r="S100" s="44">
        <f t="shared" si="30"/>
        <v>601</v>
      </c>
      <c r="T100" s="44">
        <f t="shared" si="30"/>
        <v>-1955</v>
      </c>
      <c r="U100" s="44">
        <f t="shared" si="30"/>
        <v>548</v>
      </c>
      <c r="V100" s="44">
        <f t="shared" si="30"/>
        <v>2240336.15</v>
      </c>
      <c r="W100" s="44">
        <f t="shared" si="30"/>
        <v>11411619.58</v>
      </c>
      <c r="X100" s="44">
        <f t="shared" si="30"/>
        <v>567974</v>
      </c>
      <c r="Y100" s="44">
        <f t="shared" si="30"/>
        <v>1210902</v>
      </c>
      <c r="Z100" s="44">
        <f t="shared" si="30"/>
        <v>1007246</v>
      </c>
      <c r="AA100" s="44">
        <f t="shared" si="30"/>
        <v>1165808</v>
      </c>
      <c r="AB100" s="44">
        <f t="shared" si="30"/>
        <v>785450</v>
      </c>
      <c r="AC100" s="44">
        <f t="shared" si="30"/>
        <v>4458929</v>
      </c>
      <c r="AD100" s="44">
        <f t="shared" si="30"/>
        <v>1068862</v>
      </c>
      <c r="AE100" s="44">
        <f t="shared" si="30"/>
        <v>8058515</v>
      </c>
      <c r="AF100" s="44">
        <f t="shared" si="30"/>
        <v>240953</v>
      </c>
      <c r="AG100" s="44">
        <f t="shared" si="30"/>
        <v>3418841</v>
      </c>
      <c r="AH100" s="44">
        <f t="shared" si="30"/>
        <v>1389</v>
      </c>
      <c r="AI100" s="44">
        <f t="shared" si="30"/>
        <v>3917</v>
      </c>
      <c r="AJ100" s="44">
        <f t="shared" si="30"/>
        <v>51832</v>
      </c>
      <c r="AK100" s="44">
        <f t="shared" si="30"/>
        <v>148183</v>
      </c>
      <c r="AL100" s="44">
        <f t="shared" si="30"/>
        <v>67723</v>
      </c>
      <c r="AM100" s="44">
        <f t="shared" si="30"/>
        <v>61919</v>
      </c>
      <c r="AN100" s="44">
        <v>0</v>
      </c>
      <c r="AO100" s="44">
        <f t="shared" si="30"/>
        <v>0</v>
      </c>
      <c r="AP100" s="44">
        <f t="shared" si="30"/>
        <v>1492136.7240000097</v>
      </c>
      <c r="AQ100" s="44">
        <f t="shared" si="30"/>
        <v>5836953.0610001003</v>
      </c>
      <c r="AR100" s="44">
        <f t="shared" si="30"/>
        <v>3002905</v>
      </c>
      <c r="AS100" s="44">
        <f t="shared" si="30"/>
        <v>10424349</v>
      </c>
      <c r="AT100" s="44">
        <f t="shared" si="30"/>
        <v>4051301</v>
      </c>
      <c r="AU100" s="44">
        <f t="shared" si="30"/>
        <v>8989500</v>
      </c>
      <c r="AV100" s="44">
        <f t="shared" si="30"/>
        <v>-86</v>
      </c>
      <c r="AW100" s="44">
        <f t="shared" si="30"/>
        <v>15</v>
      </c>
      <c r="AX100" s="44">
        <f t="shared" si="30"/>
        <v>785825</v>
      </c>
      <c r="AY100" s="44">
        <f t="shared" si="30"/>
        <v>2883251</v>
      </c>
      <c r="AZ100" s="44"/>
      <c r="BA100" s="44"/>
      <c r="BB100" s="44">
        <f t="shared" si="30"/>
        <v>21467</v>
      </c>
      <c r="BC100" s="44">
        <f t="shared" si="30"/>
        <v>104303</v>
      </c>
      <c r="BD100" s="44">
        <f t="shared" si="30"/>
        <v>73379</v>
      </c>
      <c r="BE100" s="44">
        <f t="shared" si="30"/>
        <v>849113</v>
      </c>
      <c r="BF100" s="44">
        <f t="shared" si="30"/>
        <v>469906</v>
      </c>
      <c r="BG100" s="44">
        <f t="shared" si="30"/>
        <v>2679025</v>
      </c>
      <c r="BH100" s="44">
        <f t="shared" si="30"/>
        <v>31007</v>
      </c>
      <c r="BI100" s="44">
        <f t="shared" si="30"/>
        <v>71524</v>
      </c>
      <c r="BJ100" s="44">
        <f t="shared" si="30"/>
        <v>6464123</v>
      </c>
      <c r="BK100" s="44">
        <f t="shared" si="30"/>
        <v>22975895</v>
      </c>
      <c r="BL100" s="44">
        <f t="shared" si="30"/>
        <v>2617741</v>
      </c>
      <c r="BM100" s="44">
        <f t="shared" si="30"/>
        <v>7052998</v>
      </c>
      <c r="BN100" s="176">
        <f t="shared" si="30"/>
        <v>2375052</v>
      </c>
      <c r="BO100" s="176">
        <f t="shared" si="30"/>
        <v>5613081</v>
      </c>
      <c r="BP100" s="44">
        <f t="shared" si="30"/>
        <v>-741895</v>
      </c>
      <c r="BQ100" s="44">
        <f t="shared" si="30"/>
        <v>2117634</v>
      </c>
      <c r="BR100" s="44">
        <f>B100+D100+F100+H100+J100+L100+N100+P100+R100+T100+V100+X100+Z100+AB100+AD100+AF100+AH100+AJ100+AL100+AN100+AP100+AR100+AT100+AV100+AX100+BB100+BD100+BF100+BH100+BJ100+BL100+BN100+BP100</f>
        <v>30041146.874000009</v>
      </c>
      <c r="BS100" s="44">
        <f>C100+E100+G100+I100+K100+M100+O100+Q100+S100+U100+W100+Y100+AA100+AC100+AE100+AG100+AI100+AK100+AM100+AO100+AQ100+AS100+AU100+AW100+AY100+BC100+BE100+BG100+BI100+BK100+BM100+BO100+BQ100</f>
        <v>104880344.64100009</v>
      </c>
    </row>
    <row r="102" spans="1:71" x14ac:dyDescent="0.25">
      <c r="A102" s="7" t="s">
        <v>61</v>
      </c>
    </row>
    <row r="103" spans="1:71" s="15" customFormat="1" x14ac:dyDescent="0.25">
      <c r="A103" s="23" t="s">
        <v>0</v>
      </c>
      <c r="B103" s="200" t="s">
        <v>1</v>
      </c>
      <c r="C103" s="200"/>
      <c r="D103" s="200" t="s">
        <v>2</v>
      </c>
      <c r="E103" s="200"/>
      <c r="F103" s="200" t="s">
        <v>3</v>
      </c>
      <c r="G103" s="200"/>
      <c r="H103" s="200" t="s">
        <v>4</v>
      </c>
      <c r="I103" s="200"/>
      <c r="J103" s="200" t="s">
        <v>5</v>
      </c>
      <c r="K103" s="200"/>
      <c r="L103" s="200" t="s">
        <v>6</v>
      </c>
      <c r="M103" s="200"/>
      <c r="N103" s="200" t="s">
        <v>7</v>
      </c>
      <c r="O103" s="200"/>
      <c r="P103" s="200" t="s">
        <v>8</v>
      </c>
      <c r="Q103" s="200"/>
      <c r="R103" s="200" t="s">
        <v>9</v>
      </c>
      <c r="S103" s="200"/>
      <c r="T103" s="200" t="s">
        <v>10</v>
      </c>
      <c r="U103" s="200"/>
      <c r="V103" s="200" t="s">
        <v>11</v>
      </c>
      <c r="W103" s="200"/>
      <c r="X103" s="200" t="s">
        <v>12</v>
      </c>
      <c r="Y103" s="200"/>
      <c r="Z103" s="200" t="s">
        <v>13</v>
      </c>
      <c r="AA103" s="200"/>
      <c r="AB103" s="200" t="s">
        <v>14</v>
      </c>
      <c r="AC103" s="200"/>
      <c r="AD103" s="200" t="s">
        <v>15</v>
      </c>
      <c r="AE103" s="200"/>
      <c r="AF103" s="200" t="s">
        <v>16</v>
      </c>
      <c r="AG103" s="200"/>
      <c r="AH103" s="200" t="s">
        <v>17</v>
      </c>
      <c r="AI103" s="200"/>
      <c r="AJ103" s="200" t="s">
        <v>18</v>
      </c>
      <c r="AK103" s="200"/>
      <c r="AL103" s="200" t="s">
        <v>19</v>
      </c>
      <c r="AM103" s="200"/>
      <c r="AN103" s="200" t="s">
        <v>20</v>
      </c>
      <c r="AO103" s="200"/>
      <c r="AP103" s="200" t="s">
        <v>21</v>
      </c>
      <c r="AQ103" s="200"/>
      <c r="AR103" s="200" t="s">
        <v>147</v>
      </c>
      <c r="AS103" s="200"/>
      <c r="AT103" s="200" t="s">
        <v>148</v>
      </c>
      <c r="AU103" s="200"/>
      <c r="AV103" s="200" t="s">
        <v>22</v>
      </c>
      <c r="AW103" s="200"/>
      <c r="AX103" s="200" t="s">
        <v>23</v>
      </c>
      <c r="AY103" s="200"/>
      <c r="AZ103" s="200" t="s">
        <v>332</v>
      </c>
      <c r="BA103" s="200"/>
      <c r="BB103" s="200" t="s">
        <v>24</v>
      </c>
      <c r="BC103" s="200"/>
      <c r="BD103" s="200" t="s">
        <v>25</v>
      </c>
      <c r="BE103" s="200"/>
      <c r="BF103" s="200" t="s">
        <v>26</v>
      </c>
      <c r="BG103" s="200"/>
      <c r="BH103" s="200" t="s">
        <v>27</v>
      </c>
      <c r="BI103" s="200"/>
      <c r="BJ103" s="200" t="s">
        <v>28</v>
      </c>
      <c r="BK103" s="200"/>
      <c r="BL103" s="200" t="s">
        <v>29</v>
      </c>
      <c r="BM103" s="200"/>
      <c r="BN103" s="201" t="s">
        <v>30</v>
      </c>
      <c r="BO103" s="201"/>
      <c r="BP103" s="200" t="s">
        <v>31</v>
      </c>
      <c r="BQ103" s="200"/>
      <c r="BR103" s="200" t="s">
        <v>250</v>
      </c>
      <c r="BS103" s="200"/>
    </row>
    <row r="104" spans="1:71" s="42" customFormat="1" ht="44.25" customHeight="1" x14ac:dyDescent="0.25">
      <c r="A104" s="43"/>
      <c r="B104" s="43" t="s">
        <v>321</v>
      </c>
      <c r="C104" s="43" t="s">
        <v>322</v>
      </c>
      <c r="D104" s="43" t="s">
        <v>321</v>
      </c>
      <c r="E104" s="43" t="s">
        <v>322</v>
      </c>
      <c r="F104" s="43" t="s">
        <v>321</v>
      </c>
      <c r="G104" s="43" t="s">
        <v>322</v>
      </c>
      <c r="H104" s="43" t="s">
        <v>321</v>
      </c>
      <c r="I104" s="43" t="s">
        <v>322</v>
      </c>
      <c r="J104" s="43" t="s">
        <v>321</v>
      </c>
      <c r="K104" s="43" t="s">
        <v>322</v>
      </c>
      <c r="L104" s="43" t="s">
        <v>321</v>
      </c>
      <c r="M104" s="43" t="s">
        <v>322</v>
      </c>
      <c r="N104" s="43" t="s">
        <v>321</v>
      </c>
      <c r="O104" s="43" t="s">
        <v>322</v>
      </c>
      <c r="P104" s="43" t="s">
        <v>321</v>
      </c>
      <c r="Q104" s="43" t="s">
        <v>322</v>
      </c>
      <c r="R104" s="43" t="s">
        <v>321</v>
      </c>
      <c r="S104" s="43" t="s">
        <v>322</v>
      </c>
      <c r="T104" s="43" t="s">
        <v>321</v>
      </c>
      <c r="U104" s="43" t="s">
        <v>322</v>
      </c>
      <c r="V104" s="43" t="s">
        <v>321</v>
      </c>
      <c r="W104" s="43" t="s">
        <v>322</v>
      </c>
      <c r="X104" s="43" t="s">
        <v>321</v>
      </c>
      <c r="Y104" s="43" t="s">
        <v>322</v>
      </c>
      <c r="Z104" s="43" t="s">
        <v>321</v>
      </c>
      <c r="AA104" s="43" t="s">
        <v>322</v>
      </c>
      <c r="AB104" s="43" t="s">
        <v>321</v>
      </c>
      <c r="AC104" s="43" t="s">
        <v>322</v>
      </c>
      <c r="AD104" s="43" t="s">
        <v>321</v>
      </c>
      <c r="AE104" s="43" t="s">
        <v>322</v>
      </c>
      <c r="AF104" s="43" t="s">
        <v>321</v>
      </c>
      <c r="AG104" s="43" t="s">
        <v>322</v>
      </c>
      <c r="AH104" s="43" t="s">
        <v>321</v>
      </c>
      <c r="AI104" s="43" t="s">
        <v>322</v>
      </c>
      <c r="AJ104" s="43" t="s">
        <v>321</v>
      </c>
      <c r="AK104" s="43" t="s">
        <v>322</v>
      </c>
      <c r="AL104" s="43" t="s">
        <v>321</v>
      </c>
      <c r="AM104" s="43" t="s">
        <v>322</v>
      </c>
      <c r="AN104" s="43" t="s">
        <v>321</v>
      </c>
      <c r="AO104" s="43" t="s">
        <v>322</v>
      </c>
      <c r="AP104" s="43" t="s">
        <v>321</v>
      </c>
      <c r="AQ104" s="43" t="s">
        <v>322</v>
      </c>
      <c r="AR104" s="43" t="s">
        <v>321</v>
      </c>
      <c r="AS104" s="43" t="s">
        <v>322</v>
      </c>
      <c r="AT104" s="43" t="s">
        <v>321</v>
      </c>
      <c r="AU104" s="43" t="s">
        <v>322</v>
      </c>
      <c r="AV104" s="43" t="s">
        <v>321</v>
      </c>
      <c r="AW104" s="43" t="s">
        <v>322</v>
      </c>
      <c r="AX104" s="43" t="s">
        <v>321</v>
      </c>
      <c r="AY104" s="43" t="s">
        <v>322</v>
      </c>
      <c r="AZ104" s="43" t="s">
        <v>321</v>
      </c>
      <c r="BA104" s="43" t="s">
        <v>322</v>
      </c>
      <c r="BB104" s="43" t="s">
        <v>321</v>
      </c>
      <c r="BC104" s="43" t="s">
        <v>322</v>
      </c>
      <c r="BD104" s="43" t="s">
        <v>321</v>
      </c>
      <c r="BE104" s="43" t="s">
        <v>322</v>
      </c>
      <c r="BF104" s="43" t="s">
        <v>321</v>
      </c>
      <c r="BG104" s="43" t="s">
        <v>322</v>
      </c>
      <c r="BH104" s="43" t="s">
        <v>321</v>
      </c>
      <c r="BI104" s="43" t="s">
        <v>322</v>
      </c>
      <c r="BJ104" s="43" t="s">
        <v>321</v>
      </c>
      <c r="BK104" s="43" t="s">
        <v>322</v>
      </c>
      <c r="BL104" s="43" t="s">
        <v>321</v>
      </c>
      <c r="BM104" s="43" t="s">
        <v>322</v>
      </c>
      <c r="BN104" s="183" t="s">
        <v>321</v>
      </c>
      <c r="BO104" s="183" t="s">
        <v>322</v>
      </c>
      <c r="BP104" s="43" t="s">
        <v>321</v>
      </c>
      <c r="BQ104" s="43" t="s">
        <v>322</v>
      </c>
      <c r="BR104" s="43" t="s">
        <v>321</v>
      </c>
      <c r="BS104" s="43" t="s">
        <v>322</v>
      </c>
    </row>
    <row r="105" spans="1:71" x14ac:dyDescent="0.25">
      <c r="A105" s="107" t="s">
        <v>68</v>
      </c>
      <c r="B105" s="44">
        <v>111663</v>
      </c>
      <c r="C105" s="44">
        <v>149509</v>
      </c>
      <c r="D105" s="44">
        <v>665917</v>
      </c>
      <c r="E105" s="44">
        <v>1847109</v>
      </c>
      <c r="F105" s="44">
        <v>18187997</v>
      </c>
      <c r="G105" s="44">
        <v>96460831</v>
      </c>
      <c r="H105" s="44">
        <v>3333135</v>
      </c>
      <c r="I105" s="44">
        <v>11649783</v>
      </c>
      <c r="J105" s="44">
        <v>16931836</v>
      </c>
      <c r="K105" s="44">
        <v>57646159</v>
      </c>
      <c r="L105" s="44">
        <v>4384602</v>
      </c>
      <c r="M105" s="44">
        <v>11781984</v>
      </c>
      <c r="N105" s="44">
        <v>6157419</v>
      </c>
      <c r="O105" s="44">
        <v>22401017</v>
      </c>
      <c r="P105" s="44">
        <v>782343</v>
      </c>
      <c r="Q105" s="44">
        <v>2469056</v>
      </c>
      <c r="R105" s="44">
        <v>66349</v>
      </c>
      <c r="S105" s="44">
        <v>108003</v>
      </c>
      <c r="T105" s="44">
        <v>45921</v>
      </c>
      <c r="U105" s="44">
        <v>58844</v>
      </c>
      <c r="V105" s="44">
        <v>4814061.3600000003</v>
      </c>
      <c r="W105" s="44">
        <v>10133071.710000001</v>
      </c>
      <c r="X105" s="44">
        <v>2618177</v>
      </c>
      <c r="Y105" s="44">
        <v>9852892</v>
      </c>
      <c r="Z105" s="44">
        <v>378801</v>
      </c>
      <c r="AA105" s="44">
        <v>610364</v>
      </c>
      <c r="AB105" s="44">
        <v>13818147</v>
      </c>
      <c r="AC105" s="44">
        <v>49949399</v>
      </c>
      <c r="AD105" s="44">
        <v>18855479</v>
      </c>
      <c r="AE105" s="44">
        <v>85514986</v>
      </c>
      <c r="AF105" s="44">
        <v>16579387</v>
      </c>
      <c r="AG105" s="44">
        <v>51233315</v>
      </c>
      <c r="AH105" s="44">
        <v>225048</v>
      </c>
      <c r="AI105" s="44">
        <v>690722</v>
      </c>
      <c r="AJ105" s="44">
        <v>1333220</v>
      </c>
      <c r="AK105" s="44">
        <v>4321587</v>
      </c>
      <c r="AL105" s="44">
        <v>909140</v>
      </c>
      <c r="AM105" s="44">
        <v>2463577</v>
      </c>
      <c r="AN105" s="44">
        <v>1245571</v>
      </c>
      <c r="AO105" s="44">
        <v>4056982</v>
      </c>
      <c r="AP105" s="44">
        <v>43781995.998999998</v>
      </c>
      <c r="AQ105" s="44">
        <v>136400023.259</v>
      </c>
      <c r="AR105" s="44">
        <v>67613365</v>
      </c>
      <c r="AS105" s="44">
        <v>203954874</v>
      </c>
      <c r="AT105" s="44">
        <v>36721850</v>
      </c>
      <c r="AU105" s="44">
        <v>106672003</v>
      </c>
      <c r="AV105" s="44">
        <v>23004</v>
      </c>
      <c r="AW105" s="44">
        <v>81550</v>
      </c>
      <c r="AX105" s="44">
        <v>17389466</v>
      </c>
      <c r="AY105" s="44">
        <v>43212205</v>
      </c>
      <c r="AZ105" s="44">
        <v>27</v>
      </c>
      <c r="BA105" s="44">
        <v>27</v>
      </c>
      <c r="BB105" s="44">
        <v>3025500</v>
      </c>
      <c r="BC105" s="44">
        <v>7908278</v>
      </c>
      <c r="BD105" s="51">
        <v>4713419</v>
      </c>
      <c r="BE105" s="51">
        <v>15279471</v>
      </c>
      <c r="BF105" s="44">
        <v>6708256</v>
      </c>
      <c r="BG105" s="44">
        <v>20172410</v>
      </c>
      <c r="BH105" s="44">
        <v>4151695</v>
      </c>
      <c r="BI105" s="44">
        <v>14107746</v>
      </c>
      <c r="BJ105" s="44">
        <v>8053268</v>
      </c>
      <c r="BK105" s="44">
        <v>28274152</v>
      </c>
      <c r="BL105" s="44">
        <v>12131233</v>
      </c>
      <c r="BM105" s="44">
        <v>35295720</v>
      </c>
      <c r="BN105" s="124">
        <v>37082652</v>
      </c>
      <c r="BO105" s="124">
        <v>129144063</v>
      </c>
      <c r="BP105" s="44">
        <v>8806996</v>
      </c>
      <c r="BQ105" s="44">
        <v>15278138</v>
      </c>
      <c r="BR105" s="44">
        <f t="shared" ref="BR105:BR109" si="31">B105+D105+F105+H105+J105+L105+N105+P105+R105+T105+V105+X105+Z105+AB105+AD105+AF105+AH105+AJ105+AL105+AN105+AP105+AR105+AT105+AV105+AX105+BB105+BD105+BF105+BH105+BJ105+BL105+BN105+BP105</f>
        <v>361646913.35899997</v>
      </c>
      <c r="BS105" s="44">
        <f t="shared" ref="BS105:BS109" si="32">C105+E105+G105+I105+K105+M105+O105+Q105+S105+U105+W105+Y105+AA105+AC105+AE105+AG105+AI105+AK105+AM105+AO105+AQ105+AS105+AU105+AW105+AY105+BC105+BE105+BG105+BI105+BK105+BM105+BO105+BQ105</f>
        <v>1179179823.9690001</v>
      </c>
    </row>
    <row r="106" spans="1:71" x14ac:dyDescent="0.25">
      <c r="A106" s="107" t="s">
        <v>342</v>
      </c>
      <c r="B106" s="44"/>
      <c r="C106" s="44"/>
      <c r="D106" s="44"/>
      <c r="E106" s="44"/>
      <c r="F106" s="44">
        <v>21770</v>
      </c>
      <c r="G106" s="44">
        <v>37255</v>
      </c>
      <c r="H106" s="44"/>
      <c r="I106" s="44"/>
      <c r="J106" s="44"/>
      <c r="K106" s="44">
        <v>68254</v>
      </c>
      <c r="L106" s="44">
        <v>1585</v>
      </c>
      <c r="M106" s="44">
        <v>17029</v>
      </c>
      <c r="N106" s="44">
        <v>1001</v>
      </c>
      <c r="O106" s="44">
        <v>6922</v>
      </c>
      <c r="P106" s="44"/>
      <c r="Q106" s="44"/>
      <c r="R106" s="44"/>
      <c r="S106" s="44"/>
      <c r="T106" s="44">
        <v>4617</v>
      </c>
      <c r="U106" s="44">
        <v>7156</v>
      </c>
      <c r="V106" s="44"/>
      <c r="W106" s="44"/>
      <c r="X106" s="44"/>
      <c r="Y106" s="44"/>
      <c r="Z106" s="44">
        <v>52901</v>
      </c>
      <c r="AA106" s="44">
        <v>52981</v>
      </c>
      <c r="AB106" s="44"/>
      <c r="AC106" s="44"/>
      <c r="AD106" s="44"/>
      <c r="AE106" s="44"/>
      <c r="AF106" s="44">
        <v>42182</v>
      </c>
      <c r="AG106" s="44">
        <v>163592</v>
      </c>
      <c r="AH106" s="44">
        <v>256</v>
      </c>
      <c r="AI106" s="44">
        <v>1242</v>
      </c>
      <c r="AJ106" s="44">
        <v>785</v>
      </c>
      <c r="AK106" s="44">
        <v>3438</v>
      </c>
      <c r="AL106" s="44"/>
      <c r="AM106" s="44"/>
      <c r="AN106" s="44"/>
      <c r="AO106" s="44"/>
      <c r="AP106" s="44">
        <v>1308686.2110000001</v>
      </c>
      <c r="AQ106" s="44">
        <v>2131814.7149999999</v>
      </c>
      <c r="AR106" s="44"/>
      <c r="AS106" s="44"/>
      <c r="AT106" s="44">
        <v>105193</v>
      </c>
      <c r="AU106" s="44">
        <v>2630614</v>
      </c>
      <c r="AV106" s="44">
        <v>5120</v>
      </c>
      <c r="AW106" s="44">
        <v>5910</v>
      </c>
      <c r="AX106" s="44"/>
      <c r="AY106" s="44"/>
      <c r="AZ106" s="44"/>
      <c r="BA106" s="44"/>
      <c r="BB106" s="44"/>
      <c r="BC106" s="44"/>
      <c r="BD106" s="51">
        <v>53745</v>
      </c>
      <c r="BE106" s="51">
        <v>76373</v>
      </c>
      <c r="BF106" s="44">
        <v>400</v>
      </c>
      <c r="BG106" s="44">
        <v>1940</v>
      </c>
      <c r="BH106" s="44">
        <v>512</v>
      </c>
      <c r="BI106" s="44">
        <v>2485</v>
      </c>
      <c r="BJ106" s="44"/>
      <c r="BK106" s="44">
        <v>81</v>
      </c>
      <c r="BL106" s="44">
        <v>189753</v>
      </c>
      <c r="BM106" s="44">
        <v>578432</v>
      </c>
      <c r="BN106" s="124">
        <v>478568</v>
      </c>
      <c r="BO106" s="124">
        <v>1975212</v>
      </c>
      <c r="BP106" s="44">
        <v>256</v>
      </c>
      <c r="BQ106" s="44">
        <v>1242</v>
      </c>
      <c r="BR106" s="44">
        <f t="shared" si="31"/>
        <v>2267330.2110000001</v>
      </c>
      <c r="BS106" s="44">
        <f t="shared" si="32"/>
        <v>7761972.7149999999</v>
      </c>
    </row>
    <row r="107" spans="1:71" x14ac:dyDescent="0.25">
      <c r="A107" s="107" t="s">
        <v>343</v>
      </c>
      <c r="B107" s="44">
        <v>58475</v>
      </c>
      <c r="C107" s="44">
        <v>79094</v>
      </c>
      <c r="D107" s="44">
        <v>29777</v>
      </c>
      <c r="E107" s="44">
        <v>89559</v>
      </c>
      <c r="F107" s="44">
        <v>13633190</v>
      </c>
      <c r="G107" s="44">
        <v>70895203</v>
      </c>
      <c r="H107" s="44">
        <v>481756</v>
      </c>
      <c r="I107" s="44">
        <v>1731891</v>
      </c>
      <c r="J107" s="44">
        <v>4681044</v>
      </c>
      <c r="K107" s="44">
        <v>18914157</v>
      </c>
      <c r="L107" s="44">
        <v>1702469</v>
      </c>
      <c r="M107" s="44">
        <v>3174345</v>
      </c>
      <c r="N107" s="44">
        <v>1791461</v>
      </c>
      <c r="O107" s="44">
        <v>8207619</v>
      </c>
      <c r="P107" s="44">
        <v>36875</v>
      </c>
      <c r="Q107" s="44">
        <v>118783</v>
      </c>
      <c r="R107" s="44"/>
      <c r="S107" s="44"/>
      <c r="T107" s="44">
        <v>16947</v>
      </c>
      <c r="U107" s="44">
        <v>42064</v>
      </c>
      <c r="V107" s="44">
        <v>1566788.4</v>
      </c>
      <c r="W107" s="44">
        <v>2927068.13</v>
      </c>
      <c r="X107" s="44"/>
      <c r="Y107" s="44"/>
      <c r="Z107" s="44">
        <v>63971</v>
      </c>
      <c r="AA107" s="44">
        <v>85331</v>
      </c>
      <c r="AB107" s="44"/>
      <c r="AC107" s="44"/>
      <c r="AD107" s="44"/>
      <c r="AE107" s="44"/>
      <c r="AF107" s="44">
        <v>7861821</v>
      </c>
      <c r="AG107" s="44">
        <v>22520296</v>
      </c>
      <c r="AH107" s="44">
        <v>4218</v>
      </c>
      <c r="AI107" s="44">
        <v>51314</v>
      </c>
      <c r="AJ107" s="44">
        <v>154931</v>
      </c>
      <c r="AK107" s="44">
        <v>495000</v>
      </c>
      <c r="AL107" s="44"/>
      <c r="AM107" s="44"/>
      <c r="AN107" s="44">
        <v>260007</v>
      </c>
      <c r="AO107" s="44">
        <v>992796</v>
      </c>
      <c r="AP107" s="44">
        <v>18340153.164999999</v>
      </c>
      <c r="AQ107" s="44">
        <v>44614808.936999992</v>
      </c>
      <c r="AR107" s="44"/>
      <c r="AS107" s="44"/>
      <c r="AT107" s="44">
        <v>22254015</v>
      </c>
      <c r="AU107" s="44">
        <v>30971215</v>
      </c>
      <c r="AV107" s="44">
        <v>4289</v>
      </c>
      <c r="AW107" s="44">
        <v>4550</v>
      </c>
      <c r="AX107" s="44"/>
      <c r="AY107" s="44"/>
      <c r="AZ107" s="44"/>
      <c r="BA107" s="44"/>
      <c r="BB107" s="44"/>
      <c r="BC107" s="44"/>
      <c r="BD107" s="51">
        <v>-1010035</v>
      </c>
      <c r="BE107" s="51">
        <v>-3540785</v>
      </c>
      <c r="BF107" s="44">
        <v>2889726</v>
      </c>
      <c r="BG107" s="44">
        <v>7943414</v>
      </c>
      <c r="BH107" s="44">
        <v>326505</v>
      </c>
      <c r="BI107" s="44">
        <v>2440270</v>
      </c>
      <c r="BJ107" s="44">
        <v>2474365</v>
      </c>
      <c r="BK107" s="44">
        <v>6877143</v>
      </c>
      <c r="BL107" s="44">
        <v>4473049</v>
      </c>
      <c r="BM107" s="44">
        <v>13444008</v>
      </c>
      <c r="BN107" s="124">
        <v>4110316</v>
      </c>
      <c r="BO107" s="124">
        <v>29593240</v>
      </c>
      <c r="BP107" s="44">
        <v>5847055</v>
      </c>
      <c r="BQ107" s="44">
        <v>8641843</v>
      </c>
      <c r="BR107" s="44">
        <f t="shared" si="31"/>
        <v>92053168.564999998</v>
      </c>
      <c r="BS107" s="44">
        <f t="shared" si="32"/>
        <v>271314227.06699997</v>
      </c>
    </row>
    <row r="108" spans="1:71" x14ac:dyDescent="0.25">
      <c r="A108" s="107" t="s">
        <v>344</v>
      </c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51"/>
      <c r="BE108" s="51"/>
      <c r="BF108" s="44"/>
      <c r="BG108" s="44"/>
      <c r="BH108" s="44"/>
      <c r="BI108" s="44"/>
      <c r="BJ108" s="44"/>
      <c r="BK108" s="44"/>
      <c r="BL108" s="44"/>
      <c r="BM108" s="44"/>
      <c r="BN108" s="124"/>
      <c r="BO108" s="124"/>
      <c r="BP108" s="44"/>
      <c r="BQ108" s="44"/>
      <c r="BR108" s="44">
        <f t="shared" si="31"/>
        <v>0</v>
      </c>
      <c r="BS108" s="44">
        <f t="shared" si="32"/>
        <v>0</v>
      </c>
    </row>
    <row r="109" spans="1:71" ht="15" customHeight="1" x14ac:dyDescent="0.25">
      <c r="A109" s="107" t="s">
        <v>345</v>
      </c>
      <c r="B109" s="44">
        <v>216698</v>
      </c>
      <c r="C109" s="44">
        <v>216697</v>
      </c>
      <c r="D109" s="44">
        <v>506845</v>
      </c>
      <c r="E109" s="44">
        <v>506845</v>
      </c>
      <c r="F109" s="44">
        <v>-2759447</v>
      </c>
      <c r="G109" s="44">
        <v>27005967</v>
      </c>
      <c r="H109" s="44">
        <v>2166984</v>
      </c>
      <c r="I109" s="44">
        <v>2166984</v>
      </c>
      <c r="J109" s="44">
        <v>2222297</v>
      </c>
      <c r="K109" s="44">
        <v>68470434</v>
      </c>
      <c r="L109" s="44">
        <v>52368</v>
      </c>
      <c r="M109" s="44">
        <v>20331150</v>
      </c>
      <c r="N109" s="44">
        <v>1825735</v>
      </c>
      <c r="O109" s="44">
        <v>42309553</v>
      </c>
      <c r="P109" s="44">
        <v>503618</v>
      </c>
      <c r="Q109" s="44">
        <v>503618</v>
      </c>
      <c r="R109" s="44"/>
      <c r="S109" s="44"/>
      <c r="T109" s="44">
        <v>329333</v>
      </c>
      <c r="U109" s="44">
        <v>329333</v>
      </c>
      <c r="V109" s="44">
        <v>-628249.06000000006</v>
      </c>
      <c r="W109" s="44">
        <v>58777165.600000001</v>
      </c>
      <c r="X109" s="44"/>
      <c r="Y109" s="44"/>
      <c r="Z109" s="44">
        <v>1934743</v>
      </c>
      <c r="AA109" s="44">
        <v>3349324</v>
      </c>
      <c r="AB109" s="44">
        <v>61214311</v>
      </c>
      <c r="AC109" s="44">
        <v>61214311</v>
      </c>
      <c r="AD109" s="44">
        <v>162541759</v>
      </c>
      <c r="AE109" s="44">
        <v>162541759</v>
      </c>
      <c r="AF109" s="44">
        <v>-136675</v>
      </c>
      <c r="AG109" s="44">
        <v>41759996</v>
      </c>
      <c r="AH109" s="44">
        <v>1382650</v>
      </c>
      <c r="AI109" s="44">
        <v>1382650</v>
      </c>
      <c r="AJ109" s="44">
        <v>8491010</v>
      </c>
      <c r="AK109" s="44">
        <v>8491010</v>
      </c>
      <c r="AL109" s="44">
        <v>11160742</v>
      </c>
      <c r="AM109" s="44">
        <v>11160742</v>
      </c>
      <c r="AN109" s="44">
        <v>1132657</v>
      </c>
      <c r="AO109" s="44">
        <v>1132657</v>
      </c>
      <c r="AP109" s="44">
        <v>5205141.1219999921</v>
      </c>
      <c r="AQ109" s="44">
        <v>158763727.18399999</v>
      </c>
      <c r="AR109" s="44">
        <v>279856423</v>
      </c>
      <c r="AS109" s="44">
        <v>279856423</v>
      </c>
      <c r="AT109" s="44">
        <v>13642899</v>
      </c>
      <c r="AU109" s="44">
        <v>177985737</v>
      </c>
      <c r="AV109" s="44">
        <v>125626</v>
      </c>
      <c r="AW109" s="44">
        <v>1485382</v>
      </c>
      <c r="AX109" s="44">
        <v>47707441</v>
      </c>
      <c r="AY109" s="44">
        <v>47707441</v>
      </c>
      <c r="AZ109" s="44"/>
      <c r="BA109" s="44"/>
      <c r="BB109" s="44"/>
      <c r="BC109" s="44"/>
      <c r="BD109" s="51">
        <v>982544</v>
      </c>
      <c r="BE109" s="51">
        <v>35283992</v>
      </c>
      <c r="BF109" s="44">
        <v>24476341</v>
      </c>
      <c r="BG109" s="44">
        <v>24476341</v>
      </c>
      <c r="BH109" s="44">
        <v>57984359</v>
      </c>
      <c r="BI109" s="44">
        <v>57984358</v>
      </c>
      <c r="BJ109" s="44">
        <v>3622874</v>
      </c>
      <c r="BK109" s="44">
        <v>3622874</v>
      </c>
      <c r="BL109" s="44">
        <v>40006024</v>
      </c>
      <c r="BM109" s="44">
        <v>40006024</v>
      </c>
      <c r="BN109" s="124">
        <v>182761595</v>
      </c>
      <c r="BO109" s="124">
        <v>182761596</v>
      </c>
      <c r="BP109" s="44">
        <v>-2074000</v>
      </c>
      <c r="BQ109" s="44">
        <v>9367098</v>
      </c>
      <c r="BR109" s="44">
        <f t="shared" si="31"/>
        <v>906454646.06200004</v>
      </c>
      <c r="BS109" s="44">
        <f t="shared" si="32"/>
        <v>1530951188.7839999</v>
      </c>
    </row>
    <row r="110" spans="1:71" ht="15" customHeight="1" x14ac:dyDescent="0.25">
      <c r="A110" s="107" t="s">
        <v>346</v>
      </c>
      <c r="B110" s="44">
        <v>85609</v>
      </c>
      <c r="C110" s="44">
        <v>1015</v>
      </c>
      <c r="D110" s="44">
        <v>462781</v>
      </c>
      <c r="E110" s="44">
        <v>223284</v>
      </c>
      <c r="F110" s="44"/>
      <c r="G110" s="44"/>
      <c r="H110" s="44">
        <v>1977376</v>
      </c>
      <c r="I110" s="44">
        <v>1613943</v>
      </c>
      <c r="J110" s="44"/>
      <c r="K110" s="44">
        <v>59166586</v>
      </c>
      <c r="L110" s="44"/>
      <c r="M110" s="44">
        <v>18189025</v>
      </c>
      <c r="N110" s="44"/>
      <c r="O110" s="44">
        <v>33154878</v>
      </c>
      <c r="P110" s="44">
        <v>583506</v>
      </c>
      <c r="Q110" s="44">
        <v>422499</v>
      </c>
      <c r="R110" s="44"/>
      <c r="S110" s="44"/>
      <c r="T110" s="44">
        <v>159386</v>
      </c>
      <c r="U110" s="44">
        <v>187</v>
      </c>
      <c r="V110" s="44"/>
      <c r="W110" s="44">
        <v>53458846.990000002</v>
      </c>
      <c r="X110" s="44"/>
      <c r="Y110" s="44"/>
      <c r="Z110" s="44">
        <v>0</v>
      </c>
      <c r="AA110" s="44">
        <v>64729</v>
      </c>
      <c r="AB110" s="44">
        <v>-63522282</v>
      </c>
      <c r="AC110" s="44">
        <v>-54261120</v>
      </c>
      <c r="AD110" s="44">
        <v>160844458</v>
      </c>
      <c r="AE110" s="44">
        <v>157910728</v>
      </c>
      <c r="AF110" s="44"/>
      <c r="AG110" s="44">
        <v>35054378</v>
      </c>
      <c r="AH110" s="44">
        <v>1219098</v>
      </c>
      <c r="AI110" s="44">
        <v>680100</v>
      </c>
      <c r="AJ110" s="44">
        <v>7332200</v>
      </c>
      <c r="AK110" s="44">
        <v>5613225</v>
      </c>
      <c r="AL110" s="44">
        <v>-10316813</v>
      </c>
      <c r="AM110" s="44">
        <v>-8175256</v>
      </c>
      <c r="AN110" s="44">
        <v>1200954</v>
      </c>
      <c r="AO110" s="44">
        <v>640417</v>
      </c>
      <c r="AP110" s="44">
        <v>9.9999381927773356E-4</v>
      </c>
      <c r="AQ110" s="44">
        <v>138340497.57999995</v>
      </c>
      <c r="AR110" s="44">
        <v>290681046</v>
      </c>
      <c r="AS110" s="44">
        <v>241188966</v>
      </c>
      <c r="AT110" s="44">
        <v>1</v>
      </c>
      <c r="AU110" s="44">
        <v>143836310</v>
      </c>
      <c r="AV110" s="44"/>
      <c r="AW110" s="44">
        <v>816112</v>
      </c>
      <c r="AX110" s="44">
        <v>47798676</v>
      </c>
      <c r="AY110" s="44">
        <v>41607614</v>
      </c>
      <c r="AZ110" s="44"/>
      <c r="BA110" s="44"/>
      <c r="BB110" s="44"/>
      <c r="BC110" s="44"/>
      <c r="BD110" s="51"/>
      <c r="BE110" s="51">
        <v>-24961844</v>
      </c>
      <c r="BF110" s="44">
        <v>24639957</v>
      </c>
      <c r="BG110" s="44">
        <v>19501565</v>
      </c>
      <c r="BH110" s="44">
        <v>60936209</v>
      </c>
      <c r="BI110" s="44">
        <v>55591113</v>
      </c>
      <c r="BJ110" s="44">
        <v>2737654</v>
      </c>
      <c r="BK110" s="44">
        <v>2044069</v>
      </c>
      <c r="BL110" s="44">
        <v>37432386</v>
      </c>
      <c r="BM110" s="44">
        <v>26572504</v>
      </c>
      <c r="BN110" s="124">
        <v>180815584</v>
      </c>
      <c r="BO110" s="124">
        <v>140926731</v>
      </c>
      <c r="BP110" s="44"/>
      <c r="BQ110" s="44">
        <v>7207898</v>
      </c>
      <c r="BR110" s="44">
        <f t="shared" ref="BR110" si="33">B110+D110+F110+H110+J110+L110+N110+P110+R110+T110+V110+X110+Z110+AB110+AD110+AF110+AH110+AJ110+AL110+AN110+AP110+AR110+AT110+AV110+AX110+BB110+BD110+BF110+BH110+BJ110+BL110+BN110+BP110</f>
        <v>745067786.00099993</v>
      </c>
      <c r="BS110" s="44">
        <f t="shared" ref="BS110" si="34">C110+E110+G110+I110+K110+M110+O110+Q110+S110+U110+W110+Y110+AA110+AC110+AE110+AG110+AI110+AK110+AM110+AO110+AQ110+AS110+AU110+AW110+AY110+BC110+BE110+BG110+BI110+BK110+BM110+BO110+BQ110</f>
        <v>1096429000.5699999</v>
      </c>
    </row>
    <row r="111" spans="1:71" x14ac:dyDescent="0.25">
      <c r="A111" s="107" t="s">
        <v>347</v>
      </c>
      <c r="B111" s="44">
        <v>184276</v>
      </c>
      <c r="C111" s="44">
        <v>286097</v>
      </c>
      <c r="D111" s="44">
        <v>680204</v>
      </c>
      <c r="E111" s="44">
        <v>2041111</v>
      </c>
      <c r="F111" s="44">
        <v>1817131</v>
      </c>
      <c r="G111" s="44">
        <v>15236371</v>
      </c>
      <c r="H111" s="44">
        <v>3040987</v>
      </c>
      <c r="I111" s="44">
        <v>10470933</v>
      </c>
      <c r="J111" s="44">
        <v>14481181</v>
      </c>
      <c r="K111" s="44">
        <v>48104104</v>
      </c>
      <c r="L111" s="44">
        <v>2736085</v>
      </c>
      <c r="M111" s="44">
        <v>10766793</v>
      </c>
      <c r="N111" s="44">
        <v>6192694</v>
      </c>
      <c r="O111" s="44">
        <v>23354995</v>
      </c>
      <c r="P111" s="44">
        <v>665580</v>
      </c>
      <c r="Q111" s="44">
        <v>2431392</v>
      </c>
      <c r="R111" s="44">
        <v>128349</v>
      </c>
      <c r="S111" s="44">
        <v>307676</v>
      </c>
      <c r="T111" s="44">
        <v>203538</v>
      </c>
      <c r="U111" s="44">
        <v>353082</v>
      </c>
      <c r="V111" s="44">
        <v>2240336.15</v>
      </c>
      <c r="W111" s="44">
        <v>11411619.58</v>
      </c>
      <c r="X111" s="44">
        <v>3388505</v>
      </c>
      <c r="Y111" s="44">
        <v>10830490</v>
      </c>
      <c r="Z111" s="44">
        <v>2309051</v>
      </c>
      <c r="AA111" s="44">
        <v>3941103</v>
      </c>
      <c r="AB111" s="44">
        <v>7113936</v>
      </c>
      <c r="AC111" s="44">
        <v>29091815</v>
      </c>
      <c r="AD111" s="44">
        <v>15746558</v>
      </c>
      <c r="AE111" s="44">
        <v>63081176</v>
      </c>
      <c r="AF111" s="44">
        <v>8623073</v>
      </c>
      <c r="AG111" s="44">
        <v>35582229</v>
      </c>
      <c r="AH111" s="44">
        <v>374638</v>
      </c>
      <c r="AI111" s="44">
        <v>1343200</v>
      </c>
      <c r="AJ111" s="44">
        <v>1914527</v>
      </c>
      <c r="AK111" s="44">
        <v>5910490</v>
      </c>
      <c r="AL111" s="44">
        <v>1656055</v>
      </c>
      <c r="AM111" s="44">
        <v>2716851</v>
      </c>
      <c r="AN111" s="44">
        <v>917267</v>
      </c>
      <c r="AO111" s="44">
        <v>3556426</v>
      </c>
      <c r="AP111" s="44">
        <v>31955670.166000001</v>
      </c>
      <c r="AQ111" s="44">
        <v>114340258.64100006</v>
      </c>
      <c r="AR111" s="44">
        <v>52450241</v>
      </c>
      <c r="AS111" s="44">
        <v>204967026</v>
      </c>
      <c r="AT111" s="44">
        <v>28215925</v>
      </c>
      <c r="AU111" s="44">
        <v>112480829</v>
      </c>
      <c r="AV111" s="44">
        <v>149461</v>
      </c>
      <c r="AW111" s="44">
        <v>747845</v>
      </c>
      <c r="AX111" s="44">
        <v>8233478</v>
      </c>
      <c r="AY111" s="44">
        <v>30313037</v>
      </c>
      <c r="AZ111" s="44">
        <v>1736</v>
      </c>
      <c r="BA111" s="44">
        <v>1843</v>
      </c>
      <c r="BB111" s="44">
        <v>1605348</v>
      </c>
      <c r="BC111" s="44">
        <v>6026714</v>
      </c>
      <c r="BD111" s="44">
        <v>4734416</v>
      </c>
      <c r="BE111" s="44">
        <v>18548519</v>
      </c>
      <c r="BF111" s="44">
        <v>3655314</v>
      </c>
      <c r="BG111" s="44">
        <v>17205712</v>
      </c>
      <c r="BH111" s="44">
        <v>873852</v>
      </c>
      <c r="BI111" s="44">
        <v>14063206</v>
      </c>
      <c r="BJ111" s="44">
        <v>6464123</v>
      </c>
      <c r="BK111" s="44">
        <v>22975895</v>
      </c>
      <c r="BL111" s="44">
        <v>10421575</v>
      </c>
      <c r="BM111" s="44">
        <v>35863664</v>
      </c>
      <c r="BN111" s="124">
        <v>35396915</v>
      </c>
      <c r="BO111" s="124">
        <v>143360900</v>
      </c>
      <c r="BP111" s="44">
        <v>886197</v>
      </c>
      <c r="BQ111" s="44">
        <v>8796737</v>
      </c>
      <c r="BR111" s="44">
        <f t="shared" ref="BR111" si="35">B111+D111+F111+H111+J111+L111+N111+P111+R111+T111+V111+X111+Z111+AB111+AD111+AF111+AH111+AJ111+AL111+AN111+AP111+AR111+AT111+AV111+AX111+BB111+BD111+BF111+BH111+BJ111+BL111+BN111+BP111</f>
        <v>259456486.31600001</v>
      </c>
      <c r="BS111" s="44">
        <f t="shared" ref="BS111" si="36">C111+E111+G111+I111+K111+M111+O111+Q111+S111+U111+W111+Y111+AA111+AC111+AE111+AG111+AI111+AK111+AM111+AO111+AQ111+AS111+AU111+AW111+AY111+BC111+BE111+BG111+BI111+BK111+BM111+BO111+BQ111</f>
        <v>1010508296.2210001</v>
      </c>
    </row>
  </sheetData>
  <mergeCells count="350">
    <mergeCell ref="AZ26:BA26"/>
    <mergeCell ref="AZ37:BA37"/>
    <mergeCell ref="AZ48:BA48"/>
    <mergeCell ref="AZ59:BA59"/>
    <mergeCell ref="AZ70:BA70"/>
    <mergeCell ref="AZ81:BA81"/>
    <mergeCell ref="AZ92:BA92"/>
    <mergeCell ref="AZ103:BA103"/>
    <mergeCell ref="BF81:BG81"/>
    <mergeCell ref="BF92:BG92"/>
    <mergeCell ref="BH81:BI81"/>
    <mergeCell ref="BJ81:BK81"/>
    <mergeCell ref="BL81:BM81"/>
    <mergeCell ref="BN81:BO81"/>
    <mergeCell ref="BP81:BQ81"/>
    <mergeCell ref="BR81:BS81"/>
    <mergeCell ref="AL81:AM81"/>
    <mergeCell ref="AN81:AO81"/>
    <mergeCell ref="AP81:AQ81"/>
    <mergeCell ref="AR81:AS81"/>
    <mergeCell ref="AT81:AU81"/>
    <mergeCell ref="AV81:AW81"/>
    <mergeCell ref="AX81:AY81"/>
    <mergeCell ref="BB81:BC81"/>
    <mergeCell ref="BD81:BE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AJ81:AK81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BR4:BS4"/>
    <mergeCell ref="BR15:BS15"/>
    <mergeCell ref="BR26:BS26"/>
    <mergeCell ref="BR37:BS37"/>
    <mergeCell ref="BR48:BS48"/>
    <mergeCell ref="BR59:BS59"/>
    <mergeCell ref="BR70:BS70"/>
    <mergeCell ref="BR92:BS92"/>
    <mergeCell ref="BR103:BS103"/>
    <mergeCell ref="B4:C4"/>
    <mergeCell ref="D4:E4"/>
    <mergeCell ref="F4:G4"/>
    <mergeCell ref="H4:I4"/>
    <mergeCell ref="J4:K4"/>
    <mergeCell ref="L4:M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L4:BM4"/>
    <mergeCell ref="BN4:BO4"/>
    <mergeCell ref="AZ4:BA4"/>
    <mergeCell ref="BP4:BQ4"/>
    <mergeCell ref="B15:C15"/>
    <mergeCell ref="D15:E15"/>
    <mergeCell ref="F15:G15"/>
    <mergeCell ref="H15:I15"/>
    <mergeCell ref="J15:K15"/>
    <mergeCell ref="L15:M15"/>
    <mergeCell ref="N15:O15"/>
    <mergeCell ref="AX4:AY4"/>
    <mergeCell ref="BB4:BC4"/>
    <mergeCell ref="BD4:BE4"/>
    <mergeCell ref="BF4:BG4"/>
    <mergeCell ref="BH4:BI4"/>
    <mergeCell ref="BJ4:BK4"/>
    <mergeCell ref="AL4:AM4"/>
    <mergeCell ref="AN4:AO4"/>
    <mergeCell ref="AP4:AQ4"/>
    <mergeCell ref="AR4:AS4"/>
    <mergeCell ref="AT4:AU4"/>
    <mergeCell ref="AV4:AW4"/>
    <mergeCell ref="Z4:AA4"/>
    <mergeCell ref="AB4:AC4"/>
    <mergeCell ref="AF15:AG15"/>
    <mergeCell ref="AH15:AI15"/>
    <mergeCell ref="AJ15:AK15"/>
    <mergeCell ref="AL15:AM15"/>
    <mergeCell ref="P15:Q15"/>
    <mergeCell ref="R15:S15"/>
    <mergeCell ref="T15:U15"/>
    <mergeCell ref="V15:W15"/>
    <mergeCell ref="X15:Y15"/>
    <mergeCell ref="Z15:AA15"/>
    <mergeCell ref="BN15:BO15"/>
    <mergeCell ref="AZ15:BA15"/>
    <mergeCell ref="BP15:BQ15"/>
    <mergeCell ref="B26:C26"/>
    <mergeCell ref="D26:E26"/>
    <mergeCell ref="F26:G26"/>
    <mergeCell ref="H26:I26"/>
    <mergeCell ref="J26:K26"/>
    <mergeCell ref="L26:M26"/>
    <mergeCell ref="N26:O26"/>
    <mergeCell ref="P26:Q26"/>
    <mergeCell ref="BB15:BC15"/>
    <mergeCell ref="BD15:BE15"/>
    <mergeCell ref="BF15:BG15"/>
    <mergeCell ref="BH15:BI15"/>
    <mergeCell ref="BJ15:BK15"/>
    <mergeCell ref="BL15:BM15"/>
    <mergeCell ref="AN15:AO15"/>
    <mergeCell ref="AP15:AQ15"/>
    <mergeCell ref="AR15:AS15"/>
    <mergeCell ref="AT15:AU15"/>
    <mergeCell ref="AV15:AW15"/>
    <mergeCell ref="AX15:AY15"/>
    <mergeCell ref="AB15:AC15"/>
    <mergeCell ref="AD15:AE15"/>
    <mergeCell ref="AH26:AI26"/>
    <mergeCell ref="AJ26:AK26"/>
    <mergeCell ref="AL26:AM26"/>
    <mergeCell ref="AN26:AO26"/>
    <mergeCell ref="R26:S26"/>
    <mergeCell ref="T26:U26"/>
    <mergeCell ref="V26:W26"/>
    <mergeCell ref="X26:Y26"/>
    <mergeCell ref="Z26:AA26"/>
    <mergeCell ref="AB26:AC26"/>
    <mergeCell ref="BP26:BQ2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D26:BE26"/>
    <mergeCell ref="BF26:BG26"/>
    <mergeCell ref="BH26:BI26"/>
    <mergeCell ref="BJ26:BK26"/>
    <mergeCell ref="BL26:BM26"/>
    <mergeCell ref="BN26:BO26"/>
    <mergeCell ref="AP26:AQ26"/>
    <mergeCell ref="AR26:AS26"/>
    <mergeCell ref="AT26:AU26"/>
    <mergeCell ref="AV26:AW26"/>
    <mergeCell ref="AX26:AY26"/>
    <mergeCell ref="BB26:BC26"/>
    <mergeCell ref="AD26:AE26"/>
    <mergeCell ref="AF26:AG26"/>
    <mergeCell ref="BL37:BM37"/>
    <mergeCell ref="BN37:BO37"/>
    <mergeCell ref="BP37:BQ37"/>
    <mergeCell ref="AR37:AS37"/>
    <mergeCell ref="AT37:AU37"/>
    <mergeCell ref="AV37:AW37"/>
    <mergeCell ref="AX37:AY37"/>
    <mergeCell ref="BB37:BC37"/>
    <mergeCell ref="BD37:BE37"/>
    <mergeCell ref="B48:C48"/>
    <mergeCell ref="D48:E48"/>
    <mergeCell ref="F48:G48"/>
    <mergeCell ref="H48:I48"/>
    <mergeCell ref="J48:K48"/>
    <mergeCell ref="L48:M48"/>
    <mergeCell ref="BF37:BG37"/>
    <mergeCell ref="BH37:BI37"/>
    <mergeCell ref="BJ37:BK37"/>
    <mergeCell ref="AF37:AG37"/>
    <mergeCell ref="AH37:AI37"/>
    <mergeCell ref="AJ37:AK37"/>
    <mergeCell ref="AL37:AM37"/>
    <mergeCell ref="AN37:AO37"/>
    <mergeCell ref="AP37:AQ37"/>
    <mergeCell ref="T37:U37"/>
    <mergeCell ref="V37:W37"/>
    <mergeCell ref="X37:Y37"/>
    <mergeCell ref="Z37:AA37"/>
    <mergeCell ref="AB37:AC37"/>
    <mergeCell ref="AD37:AE37"/>
    <mergeCell ref="AD48:AE48"/>
    <mergeCell ref="AF48:AG48"/>
    <mergeCell ref="AH48:AI48"/>
    <mergeCell ref="AJ48:AK48"/>
    <mergeCell ref="N48:O48"/>
    <mergeCell ref="P48:Q48"/>
    <mergeCell ref="R48:S48"/>
    <mergeCell ref="T48:U48"/>
    <mergeCell ref="V48:W48"/>
    <mergeCell ref="X48:Y48"/>
    <mergeCell ref="BL48:BM48"/>
    <mergeCell ref="BN48:BO48"/>
    <mergeCell ref="BP48:BQ48"/>
    <mergeCell ref="B59:C59"/>
    <mergeCell ref="D59:E59"/>
    <mergeCell ref="F59:G59"/>
    <mergeCell ref="H59:I59"/>
    <mergeCell ref="J59:K59"/>
    <mergeCell ref="L59:M59"/>
    <mergeCell ref="N59:O59"/>
    <mergeCell ref="AX48:AY48"/>
    <mergeCell ref="BB48:BC48"/>
    <mergeCell ref="BD48:BE48"/>
    <mergeCell ref="BF48:BG48"/>
    <mergeCell ref="BH48:BI48"/>
    <mergeCell ref="BJ48:BK48"/>
    <mergeCell ref="AL48:AM48"/>
    <mergeCell ref="AN48:AO48"/>
    <mergeCell ref="AP48:AQ48"/>
    <mergeCell ref="AR48:AS48"/>
    <mergeCell ref="AT48:AU48"/>
    <mergeCell ref="AV48:AW48"/>
    <mergeCell ref="Z48:AA48"/>
    <mergeCell ref="AB48:AC48"/>
    <mergeCell ref="AF59:AG59"/>
    <mergeCell ref="AH59:AI59"/>
    <mergeCell ref="AJ59:AK59"/>
    <mergeCell ref="AL59:AM59"/>
    <mergeCell ref="P59:Q59"/>
    <mergeCell ref="R59:S59"/>
    <mergeCell ref="T59:U59"/>
    <mergeCell ref="V59:W59"/>
    <mergeCell ref="X59:Y59"/>
    <mergeCell ref="Z59:AA59"/>
    <mergeCell ref="BN59:BO59"/>
    <mergeCell ref="BP59:BQ59"/>
    <mergeCell ref="B70:C70"/>
    <mergeCell ref="D70:E70"/>
    <mergeCell ref="F70:G70"/>
    <mergeCell ref="H70:I70"/>
    <mergeCell ref="J70:K70"/>
    <mergeCell ref="L70:M70"/>
    <mergeCell ref="N70:O70"/>
    <mergeCell ref="P70:Q70"/>
    <mergeCell ref="BB59:BC59"/>
    <mergeCell ref="BD59:BE59"/>
    <mergeCell ref="BF59:BG59"/>
    <mergeCell ref="BH59:BI59"/>
    <mergeCell ref="BJ59:BK59"/>
    <mergeCell ref="BL59:BM59"/>
    <mergeCell ref="AN59:AO59"/>
    <mergeCell ref="AP59:AQ59"/>
    <mergeCell ref="AR59:AS59"/>
    <mergeCell ref="AT59:AU59"/>
    <mergeCell ref="AV59:AW59"/>
    <mergeCell ref="AX59:AY59"/>
    <mergeCell ref="AB59:AC59"/>
    <mergeCell ref="AD59:AE59"/>
    <mergeCell ref="AH70:AI70"/>
    <mergeCell ref="AJ70:AK70"/>
    <mergeCell ref="AL70:AM70"/>
    <mergeCell ref="AN70:AO70"/>
    <mergeCell ref="R70:S70"/>
    <mergeCell ref="T70:U70"/>
    <mergeCell ref="V70:W70"/>
    <mergeCell ref="X70:Y70"/>
    <mergeCell ref="Z70:AA70"/>
    <mergeCell ref="AB70:AC70"/>
    <mergeCell ref="BP70:BQ70"/>
    <mergeCell ref="B92:C92"/>
    <mergeCell ref="D92:E92"/>
    <mergeCell ref="F92:G92"/>
    <mergeCell ref="H92:I92"/>
    <mergeCell ref="J92:K92"/>
    <mergeCell ref="L92:M92"/>
    <mergeCell ref="N92:O92"/>
    <mergeCell ref="P92:Q92"/>
    <mergeCell ref="R92:S92"/>
    <mergeCell ref="BD70:BE70"/>
    <mergeCell ref="BF70:BG70"/>
    <mergeCell ref="BH70:BI70"/>
    <mergeCell ref="BJ70:BK70"/>
    <mergeCell ref="BL70:BM70"/>
    <mergeCell ref="BN70:BO70"/>
    <mergeCell ref="AP70:AQ70"/>
    <mergeCell ref="AR70:AS70"/>
    <mergeCell ref="AT70:AU70"/>
    <mergeCell ref="AV70:AW70"/>
    <mergeCell ref="AX70:AY70"/>
    <mergeCell ref="BB70:BC70"/>
    <mergeCell ref="AD70:AE70"/>
    <mergeCell ref="AF70:AG70"/>
    <mergeCell ref="AF92:AG92"/>
    <mergeCell ref="AH92:AI92"/>
    <mergeCell ref="AJ92:AK92"/>
    <mergeCell ref="AL92:AM92"/>
    <mergeCell ref="AN92:AO92"/>
    <mergeCell ref="AP92:AQ92"/>
    <mergeCell ref="T92:U92"/>
    <mergeCell ref="V92:W92"/>
    <mergeCell ref="X92:Y92"/>
    <mergeCell ref="Z92:AA92"/>
    <mergeCell ref="AB92:AC92"/>
    <mergeCell ref="AD92:AE92"/>
    <mergeCell ref="BH92:BI92"/>
    <mergeCell ref="BJ92:BK92"/>
    <mergeCell ref="BL92:BM92"/>
    <mergeCell ref="BN92:BO92"/>
    <mergeCell ref="BP92:BQ92"/>
    <mergeCell ref="AR92:AS92"/>
    <mergeCell ref="AT92:AU92"/>
    <mergeCell ref="AV92:AW92"/>
    <mergeCell ref="AX92:AY92"/>
    <mergeCell ref="BB92:BC92"/>
    <mergeCell ref="BD92:BE92"/>
    <mergeCell ref="N103:O103"/>
    <mergeCell ref="P103:Q103"/>
    <mergeCell ref="R103:S103"/>
    <mergeCell ref="T103:U103"/>
    <mergeCell ref="V103:W103"/>
    <mergeCell ref="X103:Y103"/>
    <mergeCell ref="B103:C103"/>
    <mergeCell ref="D103:E103"/>
    <mergeCell ref="F103:G103"/>
    <mergeCell ref="H103:I103"/>
    <mergeCell ref="J103:K103"/>
    <mergeCell ref="L103:M103"/>
    <mergeCell ref="AL103:AM103"/>
    <mergeCell ref="AN103:AO103"/>
    <mergeCell ref="AP103:AQ103"/>
    <mergeCell ref="AR103:AS103"/>
    <mergeCell ref="AT103:AU103"/>
    <mergeCell ref="AV103:AW103"/>
    <mergeCell ref="Z103:AA103"/>
    <mergeCell ref="AB103:AC103"/>
    <mergeCell ref="AD103:AE103"/>
    <mergeCell ref="AF103:AG103"/>
    <mergeCell ref="AH103:AI103"/>
    <mergeCell ref="AJ103:AK103"/>
    <mergeCell ref="BL103:BM103"/>
    <mergeCell ref="BN103:BO103"/>
    <mergeCell ref="BP103:BQ103"/>
    <mergeCell ref="AX103:AY103"/>
    <mergeCell ref="BB103:BC103"/>
    <mergeCell ref="BD103:BE103"/>
    <mergeCell ref="BF103:BG103"/>
    <mergeCell ref="BH103:BI103"/>
    <mergeCell ref="BJ103:BK10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1"/>
  <sheetViews>
    <sheetView workbookViewId="0">
      <pane xSplit="1" ySplit="4" topLeftCell="B5" activePane="bottomRight" state="frozen"/>
      <selection activeCell="AS18" sqref="AS18"/>
      <selection pane="topRight" activeCell="AS18" sqref="AS18"/>
      <selection pane="bottomLeft" activeCell="AS18" sqref="AS18"/>
      <selection pane="bottomRight" activeCell="B3" sqref="B3"/>
    </sheetView>
  </sheetViews>
  <sheetFormatPr defaultRowHeight="15" x14ac:dyDescent="0.25"/>
  <cols>
    <col min="1" max="1" width="30.85546875" style="4" customWidth="1"/>
    <col min="2" max="9" width="14.85546875" style="4" customWidth="1"/>
    <col min="10" max="11" width="14.85546875" style="10" customWidth="1"/>
    <col min="12" max="71" width="14.85546875" style="4" customWidth="1"/>
    <col min="72" max="16384" width="9.140625" style="4"/>
  </cols>
  <sheetData>
    <row r="1" spans="1:71" ht="18.75" x14ac:dyDescent="0.3">
      <c r="A1" s="41" t="s">
        <v>183</v>
      </c>
    </row>
    <row r="2" spans="1:71" x14ac:dyDescent="0.25">
      <c r="A2" s="4" t="s">
        <v>43</v>
      </c>
    </row>
    <row r="3" spans="1:71" x14ac:dyDescent="0.25">
      <c r="A3" s="13" t="s">
        <v>142</v>
      </c>
      <c r="B3" s="4" t="s">
        <v>349</v>
      </c>
    </row>
    <row r="4" spans="1:71" s="15" customFormat="1" x14ac:dyDescent="0.25">
      <c r="A4" s="23" t="s">
        <v>0</v>
      </c>
      <c r="B4" s="200" t="s">
        <v>1</v>
      </c>
      <c r="C4" s="200"/>
      <c r="D4" s="200" t="s">
        <v>2</v>
      </c>
      <c r="E4" s="200"/>
      <c r="F4" s="200" t="s">
        <v>3</v>
      </c>
      <c r="G4" s="200"/>
      <c r="H4" s="200" t="s">
        <v>4</v>
      </c>
      <c r="I4" s="200"/>
      <c r="J4" s="200" t="s">
        <v>5</v>
      </c>
      <c r="K4" s="200"/>
      <c r="L4" s="200" t="s">
        <v>6</v>
      </c>
      <c r="M4" s="200"/>
      <c r="N4" s="200" t="s">
        <v>7</v>
      </c>
      <c r="O4" s="200"/>
      <c r="P4" s="200" t="s">
        <v>8</v>
      </c>
      <c r="Q4" s="200"/>
      <c r="R4" s="200" t="s">
        <v>9</v>
      </c>
      <c r="S4" s="200"/>
      <c r="T4" s="200" t="s">
        <v>10</v>
      </c>
      <c r="U4" s="200"/>
      <c r="V4" s="200" t="s">
        <v>11</v>
      </c>
      <c r="W4" s="200"/>
      <c r="X4" s="200" t="s">
        <v>12</v>
      </c>
      <c r="Y4" s="200"/>
      <c r="Z4" s="200" t="s">
        <v>13</v>
      </c>
      <c r="AA4" s="200"/>
      <c r="AB4" s="200" t="s">
        <v>14</v>
      </c>
      <c r="AC4" s="200"/>
      <c r="AD4" s="200" t="s">
        <v>15</v>
      </c>
      <c r="AE4" s="200"/>
      <c r="AF4" s="200" t="s">
        <v>16</v>
      </c>
      <c r="AG4" s="200"/>
      <c r="AH4" s="200" t="s">
        <v>17</v>
      </c>
      <c r="AI4" s="200"/>
      <c r="AJ4" s="200" t="s">
        <v>235</v>
      </c>
      <c r="AK4" s="200"/>
      <c r="AL4" s="200" t="s">
        <v>19</v>
      </c>
      <c r="AM4" s="200"/>
      <c r="AN4" s="200" t="s">
        <v>20</v>
      </c>
      <c r="AO4" s="200"/>
      <c r="AP4" s="200" t="s">
        <v>21</v>
      </c>
      <c r="AQ4" s="200"/>
      <c r="AR4" s="200" t="s">
        <v>147</v>
      </c>
      <c r="AS4" s="200"/>
      <c r="AT4" s="200" t="s">
        <v>148</v>
      </c>
      <c r="AU4" s="200"/>
      <c r="AV4" s="200" t="s">
        <v>22</v>
      </c>
      <c r="AW4" s="200"/>
      <c r="AX4" s="200" t="s">
        <v>23</v>
      </c>
      <c r="AY4" s="200"/>
      <c r="AZ4" s="200" t="s">
        <v>332</v>
      </c>
      <c r="BA4" s="200"/>
      <c r="BB4" s="200" t="s">
        <v>24</v>
      </c>
      <c r="BC4" s="200"/>
      <c r="BD4" s="200" t="s">
        <v>25</v>
      </c>
      <c r="BE4" s="200"/>
      <c r="BF4" s="200" t="s">
        <v>26</v>
      </c>
      <c r="BG4" s="200"/>
      <c r="BH4" s="200" t="s">
        <v>27</v>
      </c>
      <c r="BI4" s="200"/>
      <c r="BJ4" s="200" t="s">
        <v>28</v>
      </c>
      <c r="BK4" s="200"/>
      <c r="BL4" s="200" t="s">
        <v>29</v>
      </c>
      <c r="BM4" s="200"/>
      <c r="BN4" s="200" t="s">
        <v>30</v>
      </c>
      <c r="BO4" s="200"/>
      <c r="BP4" s="206" t="s">
        <v>31</v>
      </c>
      <c r="BQ4" s="206"/>
      <c r="BR4" s="200" t="s">
        <v>250</v>
      </c>
      <c r="BS4" s="200"/>
    </row>
    <row r="5" spans="1:71" s="42" customFormat="1" ht="44.25" customHeight="1" x14ac:dyDescent="0.25">
      <c r="A5" s="43"/>
      <c r="B5" s="43" t="s">
        <v>321</v>
      </c>
      <c r="C5" s="43" t="s">
        <v>322</v>
      </c>
      <c r="D5" s="43" t="s">
        <v>321</v>
      </c>
      <c r="E5" s="43" t="s">
        <v>322</v>
      </c>
      <c r="F5" s="43" t="s">
        <v>321</v>
      </c>
      <c r="G5" s="43" t="s">
        <v>322</v>
      </c>
      <c r="H5" s="43" t="s">
        <v>321</v>
      </c>
      <c r="I5" s="43" t="s">
        <v>322</v>
      </c>
      <c r="J5" s="43" t="s">
        <v>321</v>
      </c>
      <c r="K5" s="43" t="s">
        <v>322</v>
      </c>
      <c r="L5" s="43" t="s">
        <v>321</v>
      </c>
      <c r="M5" s="43" t="s">
        <v>322</v>
      </c>
      <c r="N5" s="43" t="s">
        <v>321</v>
      </c>
      <c r="O5" s="43" t="s">
        <v>322</v>
      </c>
      <c r="P5" s="43" t="s">
        <v>321</v>
      </c>
      <c r="Q5" s="43" t="s">
        <v>322</v>
      </c>
      <c r="R5" s="43" t="s">
        <v>321</v>
      </c>
      <c r="S5" s="43" t="s">
        <v>322</v>
      </c>
      <c r="T5" s="43" t="s">
        <v>321</v>
      </c>
      <c r="U5" s="43" t="s">
        <v>322</v>
      </c>
      <c r="V5" s="43" t="s">
        <v>321</v>
      </c>
      <c r="W5" s="43" t="s">
        <v>322</v>
      </c>
      <c r="X5" s="43" t="s">
        <v>321</v>
      </c>
      <c r="Y5" s="43" t="s">
        <v>322</v>
      </c>
      <c r="Z5" s="43" t="s">
        <v>321</v>
      </c>
      <c r="AA5" s="43" t="s">
        <v>322</v>
      </c>
      <c r="AB5" s="43" t="s">
        <v>321</v>
      </c>
      <c r="AC5" s="43" t="s">
        <v>322</v>
      </c>
      <c r="AD5" s="43" t="s">
        <v>321</v>
      </c>
      <c r="AE5" s="43" t="s">
        <v>322</v>
      </c>
      <c r="AF5" s="43" t="s">
        <v>321</v>
      </c>
      <c r="AG5" s="43" t="s">
        <v>322</v>
      </c>
      <c r="AH5" s="43" t="s">
        <v>321</v>
      </c>
      <c r="AI5" s="43" t="s">
        <v>322</v>
      </c>
      <c r="AJ5" s="43" t="s">
        <v>321</v>
      </c>
      <c r="AK5" s="43" t="s">
        <v>322</v>
      </c>
      <c r="AL5" s="43" t="s">
        <v>321</v>
      </c>
      <c r="AM5" s="43" t="s">
        <v>322</v>
      </c>
      <c r="AN5" s="43" t="s">
        <v>321</v>
      </c>
      <c r="AO5" s="43" t="s">
        <v>322</v>
      </c>
      <c r="AP5" s="43" t="s">
        <v>321</v>
      </c>
      <c r="AQ5" s="43" t="s">
        <v>322</v>
      </c>
      <c r="AR5" s="43" t="s">
        <v>321</v>
      </c>
      <c r="AS5" s="43" t="s">
        <v>322</v>
      </c>
      <c r="AT5" s="43" t="s">
        <v>321</v>
      </c>
      <c r="AU5" s="43" t="s">
        <v>322</v>
      </c>
      <c r="AV5" s="43" t="s">
        <v>321</v>
      </c>
      <c r="AW5" s="43" t="s">
        <v>322</v>
      </c>
      <c r="AX5" s="43" t="s">
        <v>321</v>
      </c>
      <c r="AY5" s="43" t="s">
        <v>322</v>
      </c>
      <c r="AZ5" s="43" t="s">
        <v>321</v>
      </c>
      <c r="BA5" s="43" t="s">
        <v>322</v>
      </c>
      <c r="BB5" s="43" t="s">
        <v>321</v>
      </c>
      <c r="BC5" s="43" t="s">
        <v>322</v>
      </c>
      <c r="BD5" s="43" t="s">
        <v>321</v>
      </c>
      <c r="BE5" s="43" t="s">
        <v>322</v>
      </c>
      <c r="BF5" s="43" t="s">
        <v>321</v>
      </c>
      <c r="BG5" s="43" t="s">
        <v>322</v>
      </c>
      <c r="BH5" s="43" t="s">
        <v>321</v>
      </c>
      <c r="BI5" s="43" t="s">
        <v>322</v>
      </c>
      <c r="BJ5" s="43" t="s">
        <v>321</v>
      </c>
      <c r="BK5" s="43" t="s">
        <v>322</v>
      </c>
      <c r="BL5" s="43" t="s">
        <v>321</v>
      </c>
      <c r="BM5" s="43" t="s">
        <v>322</v>
      </c>
      <c r="BN5" s="43" t="s">
        <v>321</v>
      </c>
      <c r="BO5" s="43" t="s">
        <v>322</v>
      </c>
      <c r="BP5" s="43" t="s">
        <v>321</v>
      </c>
      <c r="BQ5" s="43" t="s">
        <v>322</v>
      </c>
      <c r="BR5" s="43" t="s">
        <v>321</v>
      </c>
      <c r="BS5" s="43" t="s">
        <v>322</v>
      </c>
    </row>
    <row r="6" spans="1:71" x14ac:dyDescent="0.25">
      <c r="A6" s="21" t="s">
        <v>69</v>
      </c>
      <c r="B6" s="21"/>
      <c r="C6" s="21"/>
      <c r="D6" s="21"/>
      <c r="E6" s="21"/>
      <c r="F6" s="21"/>
      <c r="G6" s="21"/>
      <c r="H6" s="21"/>
      <c r="I6" s="21"/>
      <c r="J6" s="123">
        <v>238052</v>
      </c>
      <c r="K6" s="123">
        <v>848736</v>
      </c>
      <c r="L6" s="21">
        <v>28005</v>
      </c>
      <c r="M6" s="21">
        <v>83571</v>
      </c>
      <c r="N6" s="21">
        <v>164355</v>
      </c>
      <c r="O6" s="21">
        <v>427544</v>
      </c>
      <c r="P6" s="21"/>
      <c r="Q6" s="21"/>
      <c r="R6" s="21">
        <v>7229</v>
      </c>
      <c r="S6" s="21">
        <v>156187</v>
      </c>
      <c r="T6" s="21">
        <v>25</v>
      </c>
      <c r="U6" s="21">
        <v>31</v>
      </c>
      <c r="V6" s="21"/>
      <c r="W6" s="21"/>
      <c r="X6" s="21">
        <v>60044</v>
      </c>
      <c r="Y6" s="21">
        <v>216539</v>
      </c>
      <c r="Z6" s="21">
        <v>1803</v>
      </c>
      <c r="AA6" s="21">
        <v>5544</v>
      </c>
      <c r="AB6" s="21">
        <v>140655</v>
      </c>
      <c r="AC6" s="21">
        <v>560518</v>
      </c>
      <c r="AD6" s="21">
        <v>118518</v>
      </c>
      <c r="AE6" s="21">
        <v>555306</v>
      </c>
      <c r="AF6" s="21">
        <v>74499</v>
      </c>
      <c r="AG6" s="21">
        <v>231884</v>
      </c>
      <c r="AH6" s="21">
        <v>6921</v>
      </c>
      <c r="AI6" s="21">
        <v>20005</v>
      </c>
      <c r="AJ6" s="21">
        <v>11956</v>
      </c>
      <c r="AK6" s="21">
        <v>50421</v>
      </c>
      <c r="AL6" s="21">
        <v>16556</v>
      </c>
      <c r="AM6" s="21">
        <v>49228</v>
      </c>
      <c r="AN6" s="21"/>
      <c r="AO6" s="21"/>
      <c r="AP6" s="21">
        <v>202590.11199999996</v>
      </c>
      <c r="AQ6" s="21">
        <v>697058.41099999996</v>
      </c>
      <c r="AR6" s="21">
        <v>1040711</v>
      </c>
      <c r="AS6" s="21">
        <v>3468965</v>
      </c>
      <c r="AT6" s="21">
        <v>281216</v>
      </c>
      <c r="AU6" s="21">
        <v>963349</v>
      </c>
      <c r="AV6" s="21">
        <v>857</v>
      </c>
      <c r="AW6" s="21">
        <v>3133</v>
      </c>
      <c r="AX6" s="21">
        <v>47502</v>
      </c>
      <c r="AY6" s="21">
        <v>305846</v>
      </c>
      <c r="AZ6" s="21"/>
      <c r="BA6" s="21"/>
      <c r="BB6" s="21"/>
      <c r="BC6" s="21"/>
      <c r="BD6" s="21">
        <v>22271</v>
      </c>
      <c r="BE6" s="21">
        <v>135396</v>
      </c>
      <c r="BF6" s="21">
        <v>390305</v>
      </c>
      <c r="BG6" s="21">
        <v>1152158</v>
      </c>
      <c r="BH6" s="21">
        <v>10935</v>
      </c>
      <c r="BI6" s="21">
        <v>32934</v>
      </c>
      <c r="BJ6" s="21"/>
      <c r="BK6" s="21"/>
      <c r="BL6" s="21">
        <v>147434</v>
      </c>
      <c r="BM6" s="21">
        <v>646960</v>
      </c>
      <c r="BN6" s="143">
        <v>370308</v>
      </c>
      <c r="BO6" s="143">
        <v>1062065</v>
      </c>
      <c r="BP6" s="21">
        <v>40665</v>
      </c>
      <c r="BQ6" s="21">
        <v>136499</v>
      </c>
      <c r="BR6" s="21">
        <f t="shared" ref="BR6:BS9" si="0">B6+D6+F6+H6+J6+L6+N6+P6+R6+T6+V6+X6+Z6+AB6+AD6+AF6+AH6+AJ6+AL6+AN6+AP6+AR6+AT6+AV6+AX6+BB6+BD6+BF6+BH6+BJ6+BL6+BN6+BP6</f>
        <v>3423412.1119999997</v>
      </c>
      <c r="BS6" s="21">
        <f t="shared" si="0"/>
        <v>11809877.411</v>
      </c>
    </row>
    <row r="7" spans="1:71" x14ac:dyDescent="0.25">
      <c r="A7" s="21" t="s">
        <v>70</v>
      </c>
      <c r="B7" s="21"/>
      <c r="C7" s="21"/>
      <c r="D7" s="21"/>
      <c r="E7" s="21"/>
      <c r="F7" s="21"/>
      <c r="G7" s="21"/>
      <c r="H7" s="21"/>
      <c r="I7" s="21"/>
      <c r="J7" s="124">
        <v>8025</v>
      </c>
      <c r="K7" s="124">
        <v>23249</v>
      </c>
      <c r="L7" s="21">
        <v>726</v>
      </c>
      <c r="M7" s="21">
        <v>11318</v>
      </c>
      <c r="N7" s="21">
        <v>269</v>
      </c>
      <c r="O7" s="21">
        <v>1326</v>
      </c>
      <c r="P7" s="21"/>
      <c r="Q7" s="21"/>
      <c r="R7" s="21">
        <v>101</v>
      </c>
      <c r="S7" s="21">
        <v>399</v>
      </c>
      <c r="T7" s="21">
        <v>574</v>
      </c>
      <c r="U7" s="21">
        <v>2210</v>
      </c>
      <c r="V7" s="21"/>
      <c r="W7" s="21"/>
      <c r="X7" s="21">
        <v>1492</v>
      </c>
      <c r="Y7" s="21">
        <v>6312</v>
      </c>
      <c r="Z7" s="21">
        <v>13745</v>
      </c>
      <c r="AA7" s="21">
        <v>79167</v>
      </c>
      <c r="AB7" s="21">
        <v>6253</v>
      </c>
      <c r="AC7" s="21">
        <v>31176</v>
      </c>
      <c r="AD7" s="21">
        <v>9755</v>
      </c>
      <c r="AE7" s="21">
        <v>63994</v>
      </c>
      <c r="AF7" s="21">
        <v>22205</v>
      </c>
      <c r="AG7" s="21">
        <v>31925</v>
      </c>
      <c r="AH7" s="21">
        <v>72</v>
      </c>
      <c r="AI7" s="21">
        <v>353</v>
      </c>
      <c r="AJ7" s="21">
        <v>150</v>
      </c>
      <c r="AK7" s="21">
        <v>699</v>
      </c>
      <c r="AL7" s="21">
        <v>5625</v>
      </c>
      <c r="AM7" s="21">
        <v>17200</v>
      </c>
      <c r="AN7" s="21"/>
      <c r="AO7" s="21"/>
      <c r="AP7" s="21">
        <v>94306.078999999998</v>
      </c>
      <c r="AQ7" s="21">
        <v>226783.15599999999</v>
      </c>
      <c r="AR7" s="21">
        <v>644823</v>
      </c>
      <c r="AS7" s="21">
        <v>1718066</v>
      </c>
      <c r="AT7" s="21">
        <v>58602</v>
      </c>
      <c r="AU7" s="21">
        <v>312221</v>
      </c>
      <c r="AV7" s="21">
        <v>148</v>
      </c>
      <c r="AW7" s="21">
        <v>486</v>
      </c>
      <c r="AX7" s="21">
        <v>2907</v>
      </c>
      <c r="AY7" s="21">
        <v>15624</v>
      </c>
      <c r="AZ7" s="21"/>
      <c r="BA7" s="21"/>
      <c r="BB7" s="21"/>
      <c r="BC7" s="21"/>
      <c r="BD7" s="21">
        <v>8088</v>
      </c>
      <c r="BE7" s="21">
        <v>18080</v>
      </c>
      <c r="BF7" s="21">
        <v>877</v>
      </c>
      <c r="BG7" s="21">
        <v>4276</v>
      </c>
      <c r="BH7" s="21">
        <v>986</v>
      </c>
      <c r="BI7" s="21">
        <v>5927</v>
      </c>
      <c r="BJ7" s="21"/>
      <c r="BK7" s="21"/>
      <c r="BL7" s="21">
        <v>12847</v>
      </c>
      <c r="BM7" s="21">
        <v>46652</v>
      </c>
      <c r="BN7" s="143">
        <v>60449</v>
      </c>
      <c r="BO7" s="143">
        <v>238847</v>
      </c>
      <c r="BP7" s="21">
        <v>505</v>
      </c>
      <c r="BQ7" s="21">
        <v>2505</v>
      </c>
      <c r="BR7" s="21">
        <f t="shared" si="0"/>
        <v>953530.07900000003</v>
      </c>
      <c r="BS7" s="21">
        <f t="shared" si="0"/>
        <v>2858795.156</v>
      </c>
    </row>
    <row r="8" spans="1:71" x14ac:dyDescent="0.25">
      <c r="A8" s="21" t="s">
        <v>71</v>
      </c>
      <c r="B8" s="21"/>
      <c r="C8" s="21"/>
      <c r="D8" s="21"/>
      <c r="E8" s="21"/>
      <c r="F8" s="21"/>
      <c r="G8" s="21"/>
      <c r="H8" s="21"/>
      <c r="I8" s="21"/>
      <c r="J8" s="123">
        <v>201397</v>
      </c>
      <c r="K8" s="123">
        <v>1055553</v>
      </c>
      <c r="L8" s="21">
        <v>31488</v>
      </c>
      <c r="M8" s="21">
        <v>149486</v>
      </c>
      <c r="N8" s="21">
        <v>131704</v>
      </c>
      <c r="O8" s="21">
        <v>946445</v>
      </c>
      <c r="P8" s="21"/>
      <c r="Q8" s="21"/>
      <c r="R8" s="21">
        <v>-279386</v>
      </c>
      <c r="S8" s="21">
        <v>-286154</v>
      </c>
      <c r="T8" s="21">
        <v>2415</v>
      </c>
      <c r="U8" s="21">
        <v>4757</v>
      </c>
      <c r="V8" s="21"/>
      <c r="W8" s="21"/>
      <c r="X8" s="21">
        <v>63872</v>
      </c>
      <c r="Y8" s="21">
        <v>207521</v>
      </c>
      <c r="Z8" s="21">
        <v>24234</v>
      </c>
      <c r="AA8" s="21">
        <v>128103</v>
      </c>
      <c r="AB8" s="21">
        <v>-207004</v>
      </c>
      <c r="AC8" s="21">
        <v>-1141530</v>
      </c>
      <c r="AD8" s="21">
        <v>122953</v>
      </c>
      <c r="AE8" s="21">
        <v>878422</v>
      </c>
      <c r="AF8" s="21">
        <v>104377</v>
      </c>
      <c r="AG8" s="21">
        <v>421146</v>
      </c>
      <c r="AH8" s="21">
        <v>4671</v>
      </c>
      <c r="AI8" s="21">
        <v>16072</v>
      </c>
      <c r="AJ8" s="21">
        <v>-9854</v>
      </c>
      <c r="AK8" s="21">
        <v>14599</v>
      </c>
      <c r="AL8" s="21">
        <v>-33106</v>
      </c>
      <c r="AM8" s="21">
        <v>-108086</v>
      </c>
      <c r="AN8" s="21"/>
      <c r="AO8" s="21"/>
      <c r="AP8" s="21">
        <v>105923.24199999998</v>
      </c>
      <c r="AQ8" s="21">
        <v>226518.14499999999</v>
      </c>
      <c r="AR8" s="21">
        <v>-210560</v>
      </c>
      <c r="AS8" s="21">
        <v>700948</v>
      </c>
      <c r="AT8" s="21">
        <v>104733</v>
      </c>
      <c r="AU8" s="21">
        <v>418758</v>
      </c>
      <c r="AV8" s="21">
        <v>1509</v>
      </c>
      <c r="AW8" s="21">
        <v>4157</v>
      </c>
      <c r="AX8" s="21">
        <v>35588</v>
      </c>
      <c r="AY8" s="21">
        <v>329869</v>
      </c>
      <c r="AZ8" s="21"/>
      <c r="BA8" s="21"/>
      <c r="BB8" s="21"/>
      <c r="BC8" s="21"/>
      <c r="BD8" s="21">
        <v>-32297</v>
      </c>
      <c r="BE8" s="21">
        <v>-153256</v>
      </c>
      <c r="BF8" s="21">
        <v>493487</v>
      </c>
      <c r="BG8" s="21">
        <v>2786515</v>
      </c>
      <c r="BH8" s="21">
        <v>-542</v>
      </c>
      <c r="BI8" s="21">
        <v>6159</v>
      </c>
      <c r="BJ8" s="21"/>
      <c r="BK8" s="21"/>
      <c r="BL8" s="21">
        <v>159877</v>
      </c>
      <c r="BM8" s="21">
        <v>812873</v>
      </c>
      <c r="BN8" s="143">
        <v>206431</v>
      </c>
      <c r="BO8" s="143">
        <v>396412</v>
      </c>
      <c r="BP8" s="21">
        <v>12210</v>
      </c>
      <c r="BQ8" s="21">
        <v>45248</v>
      </c>
      <c r="BR8" s="21">
        <f t="shared" si="0"/>
        <v>1034120.242</v>
      </c>
      <c r="BS8" s="21">
        <f t="shared" si="0"/>
        <v>7860535.1449999996</v>
      </c>
    </row>
    <row r="9" spans="1:71" x14ac:dyDescent="0.25">
      <c r="A9" s="21" t="s">
        <v>72</v>
      </c>
      <c r="B9" s="21"/>
      <c r="C9" s="21"/>
      <c r="D9" s="21"/>
      <c r="E9" s="21"/>
      <c r="F9" s="21"/>
      <c r="G9" s="21"/>
      <c r="H9" s="21"/>
      <c r="I9" s="21"/>
      <c r="J9" s="124">
        <v>44680</v>
      </c>
      <c r="K9" s="123">
        <v>-183568</v>
      </c>
      <c r="L9" s="21">
        <v>-2757</v>
      </c>
      <c r="M9" s="21">
        <v>-54597</v>
      </c>
      <c r="N9" s="21">
        <v>32920</v>
      </c>
      <c r="O9" s="21">
        <v>-517575</v>
      </c>
      <c r="P9" s="21"/>
      <c r="Q9" s="21"/>
      <c r="R9" s="21">
        <v>-272056</v>
      </c>
      <c r="S9" s="21">
        <v>-129568</v>
      </c>
      <c r="T9" s="21">
        <v>-1816</v>
      </c>
      <c r="U9" s="21">
        <v>-2516</v>
      </c>
      <c r="V9" s="21"/>
      <c r="W9" s="21"/>
      <c r="X9" s="21">
        <v>-2336</v>
      </c>
      <c r="Y9" s="21">
        <v>15330</v>
      </c>
      <c r="Z9" s="21">
        <v>-8686</v>
      </c>
      <c r="AA9" s="21">
        <v>-43392</v>
      </c>
      <c r="AB9" s="21">
        <v>-60096</v>
      </c>
      <c r="AC9" s="21">
        <v>-549837</v>
      </c>
      <c r="AD9" s="21">
        <v>5320</v>
      </c>
      <c r="AE9" s="21">
        <v>-259122</v>
      </c>
      <c r="AF9" s="21">
        <v>-7673</v>
      </c>
      <c r="AG9" s="21">
        <v>-157337</v>
      </c>
      <c r="AH9" s="21">
        <v>2322</v>
      </c>
      <c r="AI9" s="21">
        <v>4286</v>
      </c>
      <c r="AJ9" s="21">
        <v>21961</v>
      </c>
      <c r="AK9" s="21">
        <v>36521</v>
      </c>
      <c r="AL9" s="21">
        <v>-10925</v>
      </c>
      <c r="AM9" s="21">
        <v>-41658</v>
      </c>
      <c r="AN9" s="21"/>
      <c r="AO9" s="21"/>
      <c r="AP9" s="21">
        <v>190972.94900000002</v>
      </c>
      <c r="AQ9" s="21">
        <v>697323.4219999999</v>
      </c>
      <c r="AR9" s="21">
        <v>1896094</v>
      </c>
      <c r="AS9" s="21">
        <v>4486083</v>
      </c>
      <c r="AT9" s="21">
        <v>235085</v>
      </c>
      <c r="AU9" s="21">
        <v>856812</v>
      </c>
      <c r="AV9" s="21">
        <v>-504</v>
      </c>
      <c r="AW9" s="21">
        <v>-539</v>
      </c>
      <c r="AX9" s="21">
        <v>14821</v>
      </c>
      <c r="AY9" s="21">
        <v>-8399</v>
      </c>
      <c r="AZ9" s="21"/>
      <c r="BA9" s="21"/>
      <c r="BB9" s="21"/>
      <c r="BC9" s="21"/>
      <c r="BD9" s="21">
        <v>-1938</v>
      </c>
      <c r="BE9" s="21">
        <v>220</v>
      </c>
      <c r="BF9" s="21">
        <v>-102305</v>
      </c>
      <c r="BG9" s="21">
        <v>-1630081</v>
      </c>
      <c r="BH9" s="21">
        <v>12463</v>
      </c>
      <c r="BI9" s="21">
        <v>32702</v>
      </c>
      <c r="BJ9" s="21"/>
      <c r="BK9" s="21"/>
      <c r="BL9" s="21">
        <v>404</v>
      </c>
      <c r="BM9" s="21">
        <v>-119261</v>
      </c>
      <c r="BN9" s="143">
        <v>224326</v>
      </c>
      <c r="BO9" s="143">
        <v>904500</v>
      </c>
      <c r="BP9" s="21">
        <v>28960</v>
      </c>
      <c r="BQ9" s="21">
        <v>93756</v>
      </c>
      <c r="BR9" s="21">
        <f t="shared" si="0"/>
        <v>2239236.949</v>
      </c>
      <c r="BS9" s="21">
        <f t="shared" si="0"/>
        <v>3430083.4219999998</v>
      </c>
    </row>
    <row r="11" spans="1:71" x14ac:dyDescent="0.25">
      <c r="A11" s="13" t="s">
        <v>167</v>
      </c>
    </row>
    <row r="12" spans="1:71" s="15" customFormat="1" x14ac:dyDescent="0.25">
      <c r="A12" s="23" t="s">
        <v>0</v>
      </c>
      <c r="B12" s="200" t="s">
        <v>1</v>
      </c>
      <c r="C12" s="200"/>
      <c r="D12" s="200" t="s">
        <v>2</v>
      </c>
      <c r="E12" s="200"/>
      <c r="F12" s="200" t="s">
        <v>3</v>
      </c>
      <c r="G12" s="200"/>
      <c r="H12" s="200" t="s">
        <v>4</v>
      </c>
      <c r="I12" s="200"/>
      <c r="J12" s="200" t="s">
        <v>5</v>
      </c>
      <c r="K12" s="200"/>
      <c r="L12" s="200" t="s">
        <v>6</v>
      </c>
      <c r="M12" s="200"/>
      <c r="N12" s="200" t="s">
        <v>7</v>
      </c>
      <c r="O12" s="200"/>
      <c r="P12" s="200" t="s">
        <v>8</v>
      </c>
      <c r="Q12" s="200"/>
      <c r="R12" s="200" t="s">
        <v>9</v>
      </c>
      <c r="S12" s="200"/>
      <c r="T12" s="200" t="s">
        <v>10</v>
      </c>
      <c r="U12" s="200"/>
      <c r="V12" s="200" t="s">
        <v>11</v>
      </c>
      <c r="W12" s="200"/>
      <c r="X12" s="200" t="s">
        <v>12</v>
      </c>
      <c r="Y12" s="200"/>
      <c r="Z12" s="200" t="s">
        <v>13</v>
      </c>
      <c r="AA12" s="200"/>
      <c r="AB12" s="200" t="s">
        <v>14</v>
      </c>
      <c r="AC12" s="200"/>
      <c r="AD12" s="200" t="s">
        <v>15</v>
      </c>
      <c r="AE12" s="200"/>
      <c r="AF12" s="200" t="s">
        <v>16</v>
      </c>
      <c r="AG12" s="200"/>
      <c r="AH12" s="200" t="s">
        <v>17</v>
      </c>
      <c r="AI12" s="200"/>
      <c r="AJ12" s="200" t="s">
        <v>18</v>
      </c>
      <c r="AK12" s="200"/>
      <c r="AL12" s="200" t="s">
        <v>19</v>
      </c>
      <c r="AM12" s="200"/>
      <c r="AN12" s="200" t="s">
        <v>20</v>
      </c>
      <c r="AO12" s="200"/>
      <c r="AP12" s="200" t="s">
        <v>21</v>
      </c>
      <c r="AQ12" s="200"/>
      <c r="AR12" s="200" t="s">
        <v>147</v>
      </c>
      <c r="AS12" s="200"/>
      <c r="AT12" s="200" t="s">
        <v>148</v>
      </c>
      <c r="AU12" s="200"/>
      <c r="AV12" s="200" t="s">
        <v>22</v>
      </c>
      <c r="AW12" s="200"/>
      <c r="AX12" s="200" t="s">
        <v>23</v>
      </c>
      <c r="AY12" s="200"/>
      <c r="AZ12" s="200" t="s">
        <v>332</v>
      </c>
      <c r="BA12" s="200"/>
      <c r="BB12" s="200" t="s">
        <v>24</v>
      </c>
      <c r="BC12" s="200"/>
      <c r="BD12" s="200" t="s">
        <v>25</v>
      </c>
      <c r="BE12" s="200"/>
      <c r="BF12" s="200" t="s">
        <v>26</v>
      </c>
      <c r="BG12" s="200"/>
      <c r="BH12" s="200" t="s">
        <v>27</v>
      </c>
      <c r="BI12" s="200"/>
      <c r="BJ12" s="200" t="s">
        <v>28</v>
      </c>
      <c r="BK12" s="200"/>
      <c r="BL12" s="200" t="s">
        <v>29</v>
      </c>
      <c r="BM12" s="200"/>
      <c r="BN12" s="200" t="s">
        <v>30</v>
      </c>
      <c r="BO12" s="200"/>
      <c r="BP12" s="200" t="s">
        <v>31</v>
      </c>
      <c r="BQ12" s="200"/>
      <c r="BR12" s="200" t="s">
        <v>250</v>
      </c>
      <c r="BS12" s="200"/>
    </row>
    <row r="13" spans="1:71" s="42" customFormat="1" ht="44.25" customHeight="1" x14ac:dyDescent="0.25">
      <c r="A13" s="43"/>
      <c r="B13" s="43" t="s">
        <v>321</v>
      </c>
      <c r="C13" s="43" t="s">
        <v>322</v>
      </c>
      <c r="D13" s="43" t="s">
        <v>321</v>
      </c>
      <c r="E13" s="43" t="s">
        <v>322</v>
      </c>
      <c r="F13" s="43" t="s">
        <v>321</v>
      </c>
      <c r="G13" s="43" t="s">
        <v>322</v>
      </c>
      <c r="H13" s="43" t="s">
        <v>321</v>
      </c>
      <c r="I13" s="43" t="s">
        <v>322</v>
      </c>
      <c r="J13" s="43" t="s">
        <v>321</v>
      </c>
      <c r="K13" s="43" t="s">
        <v>322</v>
      </c>
      <c r="L13" s="43" t="s">
        <v>321</v>
      </c>
      <c r="M13" s="43" t="s">
        <v>322</v>
      </c>
      <c r="N13" s="43" t="s">
        <v>321</v>
      </c>
      <c r="O13" s="43" t="s">
        <v>322</v>
      </c>
      <c r="P13" s="43" t="s">
        <v>321</v>
      </c>
      <c r="Q13" s="43" t="s">
        <v>322</v>
      </c>
      <c r="R13" s="43" t="s">
        <v>321</v>
      </c>
      <c r="S13" s="43" t="s">
        <v>322</v>
      </c>
      <c r="T13" s="43" t="s">
        <v>321</v>
      </c>
      <c r="U13" s="43" t="s">
        <v>322</v>
      </c>
      <c r="V13" s="43" t="s">
        <v>321</v>
      </c>
      <c r="W13" s="43" t="s">
        <v>322</v>
      </c>
      <c r="X13" s="43" t="s">
        <v>321</v>
      </c>
      <c r="Y13" s="43" t="s">
        <v>322</v>
      </c>
      <c r="Z13" s="43" t="s">
        <v>321</v>
      </c>
      <c r="AA13" s="43" t="s">
        <v>322</v>
      </c>
      <c r="AB13" s="43" t="s">
        <v>321</v>
      </c>
      <c r="AC13" s="43" t="s">
        <v>322</v>
      </c>
      <c r="AD13" s="43" t="s">
        <v>321</v>
      </c>
      <c r="AE13" s="43" t="s">
        <v>322</v>
      </c>
      <c r="AF13" s="43" t="s">
        <v>321</v>
      </c>
      <c r="AG13" s="43" t="s">
        <v>322</v>
      </c>
      <c r="AH13" s="43" t="s">
        <v>321</v>
      </c>
      <c r="AI13" s="43" t="s">
        <v>322</v>
      </c>
      <c r="AJ13" s="43" t="s">
        <v>321</v>
      </c>
      <c r="AK13" s="43" t="s">
        <v>322</v>
      </c>
      <c r="AL13" s="43" t="s">
        <v>321</v>
      </c>
      <c r="AM13" s="43" t="s">
        <v>322</v>
      </c>
      <c r="AN13" s="43" t="s">
        <v>321</v>
      </c>
      <c r="AO13" s="43" t="s">
        <v>322</v>
      </c>
      <c r="AP13" s="43" t="s">
        <v>321</v>
      </c>
      <c r="AQ13" s="43" t="s">
        <v>322</v>
      </c>
      <c r="AR13" s="43" t="s">
        <v>321</v>
      </c>
      <c r="AS13" s="43" t="s">
        <v>322</v>
      </c>
      <c r="AT13" s="43" t="s">
        <v>321</v>
      </c>
      <c r="AU13" s="43" t="s">
        <v>322</v>
      </c>
      <c r="AV13" s="43" t="s">
        <v>321</v>
      </c>
      <c r="AW13" s="43" t="s">
        <v>322</v>
      </c>
      <c r="AX13" s="43" t="s">
        <v>321</v>
      </c>
      <c r="AY13" s="43" t="s">
        <v>322</v>
      </c>
      <c r="AZ13" s="43" t="s">
        <v>321</v>
      </c>
      <c r="BA13" s="43" t="s">
        <v>322</v>
      </c>
      <c r="BB13" s="43" t="s">
        <v>321</v>
      </c>
      <c r="BC13" s="43" t="s">
        <v>322</v>
      </c>
      <c r="BD13" s="43" t="s">
        <v>321</v>
      </c>
      <c r="BE13" s="43" t="s">
        <v>322</v>
      </c>
      <c r="BF13" s="43" t="s">
        <v>321</v>
      </c>
      <c r="BG13" s="43" t="s">
        <v>322</v>
      </c>
      <c r="BH13" s="43" t="s">
        <v>321</v>
      </c>
      <c r="BI13" s="43" t="s">
        <v>322</v>
      </c>
      <c r="BJ13" s="43" t="s">
        <v>321</v>
      </c>
      <c r="BK13" s="43" t="s">
        <v>322</v>
      </c>
      <c r="BL13" s="43" t="s">
        <v>321</v>
      </c>
      <c r="BM13" s="43" t="s">
        <v>322</v>
      </c>
      <c r="BN13" s="43" t="s">
        <v>321</v>
      </c>
      <c r="BO13" s="43" t="s">
        <v>322</v>
      </c>
      <c r="BP13" s="43" t="s">
        <v>321</v>
      </c>
      <c r="BQ13" s="43" t="s">
        <v>322</v>
      </c>
      <c r="BR13" s="43" t="s">
        <v>321</v>
      </c>
      <c r="BS13" s="43" t="s">
        <v>322</v>
      </c>
    </row>
    <row r="14" spans="1:71" x14ac:dyDescent="0.25">
      <c r="A14" s="21" t="s">
        <v>69</v>
      </c>
      <c r="B14" s="21"/>
      <c r="C14" s="21"/>
      <c r="D14" s="21"/>
      <c r="E14" s="21"/>
      <c r="F14" s="21"/>
      <c r="G14" s="21"/>
      <c r="H14" s="21"/>
      <c r="I14" s="21"/>
      <c r="J14" s="124">
        <v>43569</v>
      </c>
      <c r="K14" s="123">
        <v>183952</v>
      </c>
      <c r="L14" s="21">
        <v>31192</v>
      </c>
      <c r="M14" s="21">
        <v>60331</v>
      </c>
      <c r="N14" s="21">
        <v>9772</v>
      </c>
      <c r="O14" s="21">
        <v>39320</v>
      </c>
      <c r="P14" s="21"/>
      <c r="Q14" s="21"/>
      <c r="R14" s="21"/>
      <c r="S14" s="21"/>
      <c r="T14" s="21">
        <v>37</v>
      </c>
      <c r="U14" s="21">
        <v>112</v>
      </c>
      <c r="V14" s="21"/>
      <c r="W14" s="21"/>
      <c r="X14" s="21">
        <v>23054</v>
      </c>
      <c r="Y14" s="21">
        <v>100412</v>
      </c>
      <c r="Z14" s="21">
        <v>468</v>
      </c>
      <c r="AA14" s="21">
        <v>472</v>
      </c>
      <c r="AB14" s="21">
        <f>139+42888</f>
        <v>43027</v>
      </c>
      <c r="AC14" s="21">
        <f>13296+177467</f>
        <v>190763</v>
      </c>
      <c r="AD14" s="21">
        <v>75059</v>
      </c>
      <c r="AE14" s="21">
        <v>345720</v>
      </c>
      <c r="AF14" s="21">
        <v>30207</v>
      </c>
      <c r="AG14" s="21">
        <v>115609</v>
      </c>
      <c r="AH14" s="21"/>
      <c r="AI14" s="21"/>
      <c r="AJ14" s="21">
        <v>12598</v>
      </c>
      <c r="AK14" s="21">
        <v>41082</v>
      </c>
      <c r="AL14" s="21">
        <v>6368</v>
      </c>
      <c r="AM14" s="21">
        <v>12513</v>
      </c>
      <c r="AN14" s="21"/>
      <c r="AO14" s="21"/>
      <c r="AP14" s="21">
        <v>56495.798000000003</v>
      </c>
      <c r="AQ14" s="21">
        <v>223089.34999999998</v>
      </c>
      <c r="AR14" s="21">
        <v>189398</v>
      </c>
      <c r="AS14" s="21">
        <v>729214</v>
      </c>
      <c r="AT14" s="21">
        <v>75228</v>
      </c>
      <c r="AU14" s="21">
        <v>287545</v>
      </c>
      <c r="AV14" s="21">
        <v>41</v>
      </c>
      <c r="AW14" s="21">
        <v>41</v>
      </c>
      <c r="AX14" s="21">
        <v>6499</v>
      </c>
      <c r="AY14" s="21">
        <v>70308</v>
      </c>
      <c r="AZ14" s="21"/>
      <c r="BA14" s="21"/>
      <c r="BB14" s="21"/>
      <c r="BC14" s="21"/>
      <c r="BD14" s="21">
        <v>7613</v>
      </c>
      <c r="BE14" s="21">
        <v>37785</v>
      </c>
      <c r="BF14" s="21">
        <v>5528</v>
      </c>
      <c r="BG14" s="21">
        <v>26752</v>
      </c>
      <c r="BH14" s="21">
        <v>409</v>
      </c>
      <c r="BI14" s="21">
        <v>2256</v>
      </c>
      <c r="BJ14" s="21"/>
      <c r="BK14" s="21"/>
      <c r="BL14" s="21">
        <v>121141</v>
      </c>
      <c r="BM14" s="21">
        <v>517695</v>
      </c>
      <c r="BN14" s="143">
        <v>92386</v>
      </c>
      <c r="BO14" s="143">
        <v>308177</v>
      </c>
      <c r="BP14" s="21">
        <v>2606</v>
      </c>
      <c r="BQ14" s="21">
        <v>12061</v>
      </c>
      <c r="BR14" s="21">
        <f t="shared" ref="BR14:BS17" si="1">B14+D14+F14+H14+J14+L14+N14+P14+R14+T14+V14+X14+Z14+AB14+AD14+AF14+AH14+AJ14+AL14+AN14+AP14+AR14+AT14+AV14+AX14+BB14+BD14+BF14+BH14+BJ14+BL14+BN14+BP14</f>
        <v>832695.79799999995</v>
      </c>
      <c r="BS14" s="21">
        <f t="shared" si="1"/>
        <v>3305209.35</v>
      </c>
    </row>
    <row r="15" spans="1:71" x14ac:dyDescent="0.25">
      <c r="A15" s="21" t="s">
        <v>70</v>
      </c>
      <c r="B15" s="21"/>
      <c r="C15" s="21"/>
      <c r="D15" s="21"/>
      <c r="E15" s="21"/>
      <c r="F15" s="21"/>
      <c r="G15" s="21"/>
      <c r="H15" s="21"/>
      <c r="I15" s="21"/>
      <c r="J15" s="123"/>
      <c r="K15" s="123"/>
      <c r="L15" s="21">
        <v>623</v>
      </c>
      <c r="M15" s="21">
        <v>2915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>
        <v>169</v>
      </c>
      <c r="Y15" s="21">
        <v>926</v>
      </c>
      <c r="Z15" s="21">
        <v>-118</v>
      </c>
      <c r="AA15" s="21"/>
      <c r="AB15" s="21">
        <v>1288</v>
      </c>
      <c r="AC15" s="21">
        <v>6835</v>
      </c>
      <c r="AD15" s="21">
        <v>9570</v>
      </c>
      <c r="AE15" s="21">
        <v>32684</v>
      </c>
      <c r="AF15" s="21">
        <v>169</v>
      </c>
      <c r="AG15" s="21">
        <v>1703</v>
      </c>
      <c r="AH15" s="21"/>
      <c r="AI15" s="21"/>
      <c r="AJ15" s="21"/>
      <c r="AK15" s="21"/>
      <c r="AL15" s="21">
        <v>552</v>
      </c>
      <c r="AM15" s="21">
        <v>5458</v>
      </c>
      <c r="AN15" s="21"/>
      <c r="AO15" s="21"/>
      <c r="AP15" s="21">
        <v>24429.611000000001</v>
      </c>
      <c r="AQ15" s="21">
        <v>29729.928</v>
      </c>
      <c r="AR15" s="21">
        <v>47604</v>
      </c>
      <c r="AS15" s="21">
        <v>61943</v>
      </c>
      <c r="AT15" s="21">
        <v>945</v>
      </c>
      <c r="AU15" s="21">
        <v>38210</v>
      </c>
      <c r="AV15" s="21"/>
      <c r="AW15" s="21"/>
      <c r="AX15" s="21"/>
      <c r="AY15" s="21">
        <v>572</v>
      </c>
      <c r="AZ15" s="21"/>
      <c r="BA15" s="21"/>
      <c r="BB15" s="21"/>
      <c r="BC15" s="21"/>
      <c r="BD15" s="21">
        <v>3</v>
      </c>
      <c r="BE15" s="21">
        <v>66</v>
      </c>
      <c r="BF15" s="21"/>
      <c r="BG15" s="21"/>
      <c r="BH15" s="21"/>
      <c r="BI15" s="21"/>
      <c r="BJ15" s="21"/>
      <c r="BK15" s="21"/>
      <c r="BL15" s="21">
        <v>2382</v>
      </c>
      <c r="BM15" s="21">
        <v>9407</v>
      </c>
      <c r="BN15" s="143">
        <v>1248</v>
      </c>
      <c r="BO15" s="143">
        <v>19332</v>
      </c>
      <c r="BP15" s="21"/>
      <c r="BQ15" s="21"/>
      <c r="BR15" s="21">
        <f t="shared" si="1"/>
        <v>88864.611000000004</v>
      </c>
      <c r="BS15" s="21">
        <f t="shared" si="1"/>
        <v>209780.92800000001</v>
      </c>
    </row>
    <row r="16" spans="1:71" x14ac:dyDescent="0.25">
      <c r="A16" s="21" t="s">
        <v>71</v>
      </c>
      <c r="B16" s="21"/>
      <c r="C16" s="21"/>
      <c r="D16" s="21"/>
      <c r="E16" s="21"/>
      <c r="F16" s="21"/>
      <c r="G16" s="21"/>
      <c r="H16" s="21"/>
      <c r="I16" s="21"/>
      <c r="J16" s="124">
        <v>12611</v>
      </c>
      <c r="K16" s="124">
        <v>37519</v>
      </c>
      <c r="L16" s="21">
        <v>7911</v>
      </c>
      <c r="M16" s="21">
        <v>19030</v>
      </c>
      <c r="N16" s="21">
        <v>32462</v>
      </c>
      <c r="O16" s="21">
        <v>89455</v>
      </c>
      <c r="P16" s="21"/>
      <c r="Q16" s="21"/>
      <c r="R16" s="21"/>
      <c r="S16" s="21"/>
      <c r="T16" s="21">
        <v>44</v>
      </c>
      <c r="U16" s="21">
        <v>134</v>
      </c>
      <c r="V16" s="21"/>
      <c r="W16" s="21"/>
      <c r="X16" s="21">
        <v>6137</v>
      </c>
      <c r="Y16" s="21">
        <v>20939</v>
      </c>
      <c r="Z16" s="21">
        <v>383</v>
      </c>
      <c r="AA16" s="21">
        <v>560</v>
      </c>
      <c r="AB16" s="21">
        <f>-2544-19441</f>
        <v>-21985</v>
      </c>
      <c r="AC16" s="21">
        <f>-21458-84216</f>
        <v>-105674</v>
      </c>
      <c r="AD16" s="21">
        <v>14966</v>
      </c>
      <c r="AE16" s="21">
        <v>60528</v>
      </c>
      <c r="AF16" s="21">
        <v>32454</v>
      </c>
      <c r="AG16" s="21">
        <v>138563</v>
      </c>
      <c r="AH16" s="21"/>
      <c r="AI16" s="21"/>
      <c r="AJ16" s="21">
        <v>555</v>
      </c>
      <c r="AK16" s="21">
        <v>4408</v>
      </c>
      <c r="AL16" s="21">
        <v>-10684</v>
      </c>
      <c r="AM16" s="21">
        <v>-31235</v>
      </c>
      <c r="AN16" s="21"/>
      <c r="AO16" s="21"/>
      <c r="AP16" s="21">
        <v>26137.963</v>
      </c>
      <c r="AQ16" s="21">
        <v>92972.879000000001</v>
      </c>
      <c r="AR16" s="21">
        <v>31940</v>
      </c>
      <c r="AS16" s="21">
        <v>177742</v>
      </c>
      <c r="AT16" s="21">
        <v>41872</v>
      </c>
      <c r="AU16" s="21">
        <v>124259</v>
      </c>
      <c r="AV16" s="21">
        <v>2</v>
      </c>
      <c r="AW16" s="21">
        <v>6</v>
      </c>
      <c r="AX16" s="21">
        <v>15393</v>
      </c>
      <c r="AY16" s="21">
        <v>102443</v>
      </c>
      <c r="AZ16" s="21"/>
      <c r="BA16" s="21"/>
      <c r="BB16" s="21"/>
      <c r="BC16" s="21"/>
      <c r="BD16" s="21">
        <v>-8622</v>
      </c>
      <c r="BE16" s="21">
        <v>-36204</v>
      </c>
      <c r="BF16" s="21">
        <v>419</v>
      </c>
      <c r="BG16" s="21">
        <v>3701</v>
      </c>
      <c r="BH16" s="21">
        <v>58</v>
      </c>
      <c r="BI16" s="21">
        <v>559</v>
      </c>
      <c r="BJ16" s="21"/>
      <c r="BK16" s="21"/>
      <c r="BL16" s="21">
        <v>14919</v>
      </c>
      <c r="BM16" s="21">
        <v>47014</v>
      </c>
      <c r="BN16" s="143">
        <v>10340</v>
      </c>
      <c r="BO16" s="143">
        <v>58580</v>
      </c>
      <c r="BP16" s="21">
        <v>4212</v>
      </c>
      <c r="BQ16" s="21">
        <v>19503</v>
      </c>
      <c r="BR16" s="21">
        <f t="shared" si="1"/>
        <v>211524.96299999999</v>
      </c>
      <c r="BS16" s="21">
        <f t="shared" si="1"/>
        <v>824802.87899999996</v>
      </c>
    </row>
    <row r="17" spans="1:71" x14ac:dyDescent="0.25">
      <c r="A17" s="21" t="s">
        <v>72</v>
      </c>
      <c r="B17" s="21"/>
      <c r="C17" s="21"/>
      <c r="D17" s="21"/>
      <c r="E17" s="21"/>
      <c r="F17" s="21"/>
      <c r="G17" s="21"/>
      <c r="H17" s="21"/>
      <c r="I17" s="21"/>
      <c r="J17" s="124">
        <v>30958</v>
      </c>
      <c r="K17" s="123">
        <v>146433</v>
      </c>
      <c r="L17" s="21">
        <v>23903</v>
      </c>
      <c r="M17" s="21">
        <v>44216</v>
      </c>
      <c r="N17" s="21">
        <v>-22690</v>
      </c>
      <c r="O17" s="21">
        <v>-50135</v>
      </c>
      <c r="P17" s="21"/>
      <c r="Q17" s="21"/>
      <c r="R17" s="21"/>
      <c r="S17" s="21"/>
      <c r="T17" s="21">
        <v>-7</v>
      </c>
      <c r="U17" s="21">
        <v>-22</v>
      </c>
      <c r="V17" s="21"/>
      <c r="W17" s="21"/>
      <c r="X17" s="21">
        <v>17086</v>
      </c>
      <c r="Y17" s="21">
        <v>80399</v>
      </c>
      <c r="Z17" s="21">
        <v>-34</v>
      </c>
      <c r="AA17" s="21">
        <v>-88</v>
      </c>
      <c r="AB17" s="21">
        <f>-2404+24736</f>
        <v>22332</v>
      </c>
      <c r="AC17" s="21">
        <f>-8162+100086</f>
        <v>91924</v>
      </c>
      <c r="AD17" s="21">
        <v>69663</v>
      </c>
      <c r="AE17" s="21">
        <v>317876</v>
      </c>
      <c r="AF17" s="21">
        <v>-2078</v>
      </c>
      <c r="AG17" s="21">
        <v>-21251</v>
      </c>
      <c r="AH17" s="21"/>
      <c r="AI17" s="21"/>
      <c r="AJ17" s="21">
        <v>12043</v>
      </c>
      <c r="AK17" s="21">
        <v>36675</v>
      </c>
      <c r="AL17" s="21">
        <v>-3764</v>
      </c>
      <c r="AM17" s="21">
        <v>-13264</v>
      </c>
      <c r="AN17" s="21"/>
      <c r="AO17" s="21"/>
      <c r="AP17" s="21">
        <v>54787.445999999996</v>
      </c>
      <c r="AQ17" s="21">
        <v>159846.39899999998</v>
      </c>
      <c r="AR17" s="21">
        <v>205061</v>
      </c>
      <c r="AS17" s="21">
        <v>613415</v>
      </c>
      <c r="AT17" s="21">
        <v>34301</v>
      </c>
      <c r="AU17" s="21">
        <v>201496</v>
      </c>
      <c r="AV17" s="21">
        <v>39</v>
      </c>
      <c r="AW17" s="21">
        <v>35</v>
      </c>
      <c r="AX17" s="21">
        <v>-8894</v>
      </c>
      <c r="AY17" s="21">
        <v>-31563</v>
      </c>
      <c r="AZ17" s="21"/>
      <c r="BA17" s="21"/>
      <c r="BB17" s="21"/>
      <c r="BC17" s="21"/>
      <c r="BD17" s="21">
        <v>-1006</v>
      </c>
      <c r="BE17" s="21">
        <v>1647</v>
      </c>
      <c r="BF17" s="21">
        <v>5109</v>
      </c>
      <c r="BG17" s="21">
        <v>23051</v>
      </c>
      <c r="BH17" s="21">
        <v>350</v>
      </c>
      <c r="BI17" s="21">
        <v>1697</v>
      </c>
      <c r="BJ17" s="21"/>
      <c r="BK17" s="21"/>
      <c r="BL17" s="21">
        <v>108604</v>
      </c>
      <c r="BM17" s="21">
        <v>480088</v>
      </c>
      <c r="BN17" s="143">
        <v>83294</v>
      </c>
      <c r="BO17" s="143">
        <v>268929</v>
      </c>
      <c r="BP17" s="21">
        <v>-1606</v>
      </c>
      <c r="BQ17" s="21">
        <v>-7442</v>
      </c>
      <c r="BR17" s="21">
        <f t="shared" si="1"/>
        <v>627451.446</v>
      </c>
      <c r="BS17" s="21">
        <f t="shared" si="1"/>
        <v>2343962.3990000002</v>
      </c>
    </row>
    <row r="19" spans="1:71" x14ac:dyDescent="0.25">
      <c r="A19" s="13" t="s">
        <v>168</v>
      </c>
    </row>
    <row r="20" spans="1:71" s="15" customFormat="1" x14ac:dyDescent="0.25">
      <c r="A20" s="23" t="s">
        <v>0</v>
      </c>
      <c r="B20" s="200" t="s">
        <v>1</v>
      </c>
      <c r="C20" s="200"/>
      <c r="D20" s="200" t="s">
        <v>2</v>
      </c>
      <c r="E20" s="200"/>
      <c r="F20" s="200" t="s">
        <v>3</v>
      </c>
      <c r="G20" s="200"/>
      <c r="H20" s="200" t="s">
        <v>4</v>
      </c>
      <c r="I20" s="200"/>
      <c r="J20" s="200" t="s">
        <v>5</v>
      </c>
      <c r="K20" s="200"/>
      <c r="L20" s="200" t="s">
        <v>6</v>
      </c>
      <c r="M20" s="200"/>
      <c r="N20" s="200" t="s">
        <v>7</v>
      </c>
      <c r="O20" s="200"/>
      <c r="P20" s="200" t="s">
        <v>8</v>
      </c>
      <c r="Q20" s="200"/>
      <c r="R20" s="200" t="s">
        <v>9</v>
      </c>
      <c r="S20" s="200"/>
      <c r="T20" s="200" t="s">
        <v>10</v>
      </c>
      <c r="U20" s="200"/>
      <c r="V20" s="200" t="s">
        <v>11</v>
      </c>
      <c r="W20" s="200"/>
      <c r="X20" s="200" t="s">
        <v>12</v>
      </c>
      <c r="Y20" s="200"/>
      <c r="Z20" s="200" t="s">
        <v>13</v>
      </c>
      <c r="AA20" s="200"/>
      <c r="AB20" s="200" t="s">
        <v>14</v>
      </c>
      <c r="AC20" s="200"/>
      <c r="AD20" s="200" t="s">
        <v>15</v>
      </c>
      <c r="AE20" s="200"/>
      <c r="AF20" s="200" t="s">
        <v>16</v>
      </c>
      <c r="AG20" s="200"/>
      <c r="AH20" s="200" t="s">
        <v>17</v>
      </c>
      <c r="AI20" s="200"/>
      <c r="AJ20" s="200" t="s">
        <v>18</v>
      </c>
      <c r="AK20" s="200"/>
      <c r="AL20" s="200" t="s">
        <v>19</v>
      </c>
      <c r="AM20" s="200"/>
      <c r="AN20" s="200" t="s">
        <v>20</v>
      </c>
      <c r="AO20" s="200"/>
      <c r="AP20" s="200" t="s">
        <v>21</v>
      </c>
      <c r="AQ20" s="200"/>
      <c r="AR20" s="200" t="s">
        <v>147</v>
      </c>
      <c r="AS20" s="200"/>
      <c r="AT20" s="200" t="s">
        <v>148</v>
      </c>
      <c r="AU20" s="200"/>
      <c r="AV20" s="200" t="s">
        <v>22</v>
      </c>
      <c r="AW20" s="200"/>
      <c r="AX20" s="200" t="s">
        <v>23</v>
      </c>
      <c r="AY20" s="200"/>
      <c r="AZ20" s="200" t="s">
        <v>332</v>
      </c>
      <c r="BA20" s="200"/>
      <c r="BB20" s="200" t="s">
        <v>24</v>
      </c>
      <c r="BC20" s="200"/>
      <c r="BD20" s="200" t="s">
        <v>25</v>
      </c>
      <c r="BE20" s="200"/>
      <c r="BF20" s="200" t="s">
        <v>26</v>
      </c>
      <c r="BG20" s="200"/>
      <c r="BH20" s="200" t="s">
        <v>27</v>
      </c>
      <c r="BI20" s="200"/>
      <c r="BJ20" s="200" t="s">
        <v>28</v>
      </c>
      <c r="BK20" s="200"/>
      <c r="BL20" s="200" t="s">
        <v>29</v>
      </c>
      <c r="BM20" s="200"/>
      <c r="BN20" s="200" t="s">
        <v>30</v>
      </c>
      <c r="BO20" s="200"/>
      <c r="BP20" s="200" t="s">
        <v>31</v>
      </c>
      <c r="BQ20" s="200"/>
      <c r="BR20" s="200" t="s">
        <v>250</v>
      </c>
      <c r="BS20" s="200"/>
    </row>
    <row r="21" spans="1:71" s="42" customFormat="1" ht="44.25" customHeight="1" x14ac:dyDescent="0.25">
      <c r="A21" s="43"/>
      <c r="B21" s="43" t="s">
        <v>321</v>
      </c>
      <c r="C21" s="43" t="s">
        <v>322</v>
      </c>
      <c r="D21" s="43" t="s">
        <v>321</v>
      </c>
      <c r="E21" s="43" t="s">
        <v>322</v>
      </c>
      <c r="F21" s="43" t="s">
        <v>321</v>
      </c>
      <c r="G21" s="43" t="s">
        <v>322</v>
      </c>
      <c r="H21" s="43" t="s">
        <v>321</v>
      </c>
      <c r="I21" s="43" t="s">
        <v>322</v>
      </c>
      <c r="J21" s="43" t="s">
        <v>321</v>
      </c>
      <c r="K21" s="43" t="s">
        <v>322</v>
      </c>
      <c r="L21" s="43" t="s">
        <v>321</v>
      </c>
      <c r="M21" s="43" t="s">
        <v>322</v>
      </c>
      <c r="N21" s="43" t="s">
        <v>321</v>
      </c>
      <c r="O21" s="43" t="s">
        <v>322</v>
      </c>
      <c r="P21" s="43" t="s">
        <v>321</v>
      </c>
      <c r="Q21" s="43" t="s">
        <v>322</v>
      </c>
      <c r="R21" s="43" t="s">
        <v>321</v>
      </c>
      <c r="S21" s="43" t="s">
        <v>322</v>
      </c>
      <c r="T21" s="43" t="s">
        <v>321</v>
      </c>
      <c r="U21" s="43" t="s">
        <v>322</v>
      </c>
      <c r="V21" s="43" t="s">
        <v>321</v>
      </c>
      <c r="W21" s="43" t="s">
        <v>322</v>
      </c>
      <c r="X21" s="43" t="s">
        <v>321</v>
      </c>
      <c r="Y21" s="43" t="s">
        <v>322</v>
      </c>
      <c r="Z21" s="43" t="s">
        <v>321</v>
      </c>
      <c r="AA21" s="43" t="s">
        <v>322</v>
      </c>
      <c r="AB21" s="43" t="s">
        <v>321</v>
      </c>
      <c r="AC21" s="43" t="s">
        <v>322</v>
      </c>
      <c r="AD21" s="43" t="s">
        <v>321</v>
      </c>
      <c r="AE21" s="43" t="s">
        <v>322</v>
      </c>
      <c r="AF21" s="43" t="s">
        <v>321</v>
      </c>
      <c r="AG21" s="43" t="s">
        <v>322</v>
      </c>
      <c r="AH21" s="43" t="s">
        <v>321</v>
      </c>
      <c r="AI21" s="43" t="s">
        <v>322</v>
      </c>
      <c r="AJ21" s="43" t="s">
        <v>321</v>
      </c>
      <c r="AK21" s="43" t="s">
        <v>322</v>
      </c>
      <c r="AL21" s="43" t="s">
        <v>321</v>
      </c>
      <c r="AM21" s="43" t="s">
        <v>322</v>
      </c>
      <c r="AN21" s="43" t="s">
        <v>321</v>
      </c>
      <c r="AO21" s="43" t="s">
        <v>322</v>
      </c>
      <c r="AP21" s="43" t="s">
        <v>321</v>
      </c>
      <c r="AQ21" s="43" t="s">
        <v>322</v>
      </c>
      <c r="AR21" s="43" t="s">
        <v>321</v>
      </c>
      <c r="AS21" s="43" t="s">
        <v>322</v>
      </c>
      <c r="AT21" s="43" t="s">
        <v>321</v>
      </c>
      <c r="AU21" s="43" t="s">
        <v>322</v>
      </c>
      <c r="AV21" s="43" t="s">
        <v>321</v>
      </c>
      <c r="AW21" s="43" t="s">
        <v>322</v>
      </c>
      <c r="AX21" s="43" t="s">
        <v>321</v>
      </c>
      <c r="AY21" s="43" t="s">
        <v>322</v>
      </c>
      <c r="AZ21" s="43" t="s">
        <v>321</v>
      </c>
      <c r="BA21" s="43" t="s">
        <v>322</v>
      </c>
      <c r="BB21" s="43" t="s">
        <v>321</v>
      </c>
      <c r="BC21" s="43" t="s">
        <v>322</v>
      </c>
      <c r="BD21" s="43" t="s">
        <v>321</v>
      </c>
      <c r="BE21" s="43" t="s">
        <v>322</v>
      </c>
      <c r="BF21" s="43" t="s">
        <v>321</v>
      </c>
      <c r="BG21" s="43" t="s">
        <v>322</v>
      </c>
      <c r="BH21" s="43" t="s">
        <v>321</v>
      </c>
      <c r="BI21" s="43" t="s">
        <v>322</v>
      </c>
      <c r="BJ21" s="43" t="s">
        <v>321</v>
      </c>
      <c r="BK21" s="43" t="s">
        <v>322</v>
      </c>
      <c r="BL21" s="43" t="s">
        <v>321</v>
      </c>
      <c r="BM21" s="43" t="s">
        <v>322</v>
      </c>
      <c r="BN21" s="43" t="s">
        <v>321</v>
      </c>
      <c r="BO21" s="43" t="s">
        <v>322</v>
      </c>
      <c r="BP21" s="43" t="s">
        <v>321</v>
      </c>
      <c r="BQ21" s="43" t="s">
        <v>322</v>
      </c>
      <c r="BR21" s="43" t="s">
        <v>321</v>
      </c>
      <c r="BS21" s="43" t="s">
        <v>322</v>
      </c>
    </row>
    <row r="22" spans="1:71" x14ac:dyDescent="0.25">
      <c r="A22" s="21" t="s">
        <v>69</v>
      </c>
      <c r="B22" s="21">
        <v>7912</v>
      </c>
      <c r="C22" s="21">
        <v>13340</v>
      </c>
      <c r="D22" s="21"/>
      <c r="E22" s="21"/>
      <c r="F22" s="21"/>
      <c r="G22" s="21"/>
      <c r="H22" s="21"/>
      <c r="I22" s="21"/>
      <c r="J22" s="123">
        <v>931616</v>
      </c>
      <c r="K22" s="123">
        <v>4257251</v>
      </c>
      <c r="L22" s="21">
        <v>338615</v>
      </c>
      <c r="M22" s="21">
        <v>1235381</v>
      </c>
      <c r="N22" s="21">
        <v>585565</v>
      </c>
      <c r="O22" s="21">
        <v>1795493</v>
      </c>
      <c r="P22" s="21"/>
      <c r="Q22" s="21"/>
      <c r="R22" s="21">
        <v>7718</v>
      </c>
      <c r="S22" s="21">
        <v>7719</v>
      </c>
      <c r="T22" s="21">
        <v>3592</v>
      </c>
      <c r="U22" s="21">
        <v>6822</v>
      </c>
      <c r="V22" s="21"/>
      <c r="W22" s="21"/>
      <c r="X22" s="21">
        <f>43640+193891</f>
        <v>237531</v>
      </c>
      <c r="Y22" s="21">
        <f>70789+674399</f>
        <v>745188</v>
      </c>
      <c r="Z22" s="21">
        <v>113710</v>
      </c>
      <c r="AA22" s="21">
        <v>284284</v>
      </c>
      <c r="AB22" s="21">
        <f>72912+806125</f>
        <v>879037</v>
      </c>
      <c r="AC22" s="21">
        <f>166349+2943480</f>
        <v>3109829</v>
      </c>
      <c r="AD22" s="21">
        <v>1860238</v>
      </c>
      <c r="AE22" s="21">
        <v>6805458</v>
      </c>
      <c r="AF22" s="21">
        <v>965924</v>
      </c>
      <c r="AG22" s="21">
        <v>3341333</v>
      </c>
      <c r="AH22" s="21">
        <v>50392</v>
      </c>
      <c r="AI22" s="21">
        <v>171313</v>
      </c>
      <c r="AJ22" s="21">
        <f>2336+243161</f>
        <v>245497</v>
      </c>
      <c r="AK22" s="21">
        <f>11592+843815</f>
        <v>855407</v>
      </c>
      <c r="AL22" s="21">
        <v>125126</v>
      </c>
      <c r="AM22" s="21">
        <v>434303</v>
      </c>
      <c r="AN22" s="21"/>
      <c r="AO22" s="21"/>
      <c r="AP22" s="21">
        <v>1536586.7250000001</v>
      </c>
      <c r="AQ22" s="21">
        <v>5350764.0690000001</v>
      </c>
      <c r="AR22" s="21">
        <v>2807211</v>
      </c>
      <c r="AS22" s="21">
        <v>10123786</v>
      </c>
      <c r="AT22" s="21">
        <v>903121</v>
      </c>
      <c r="AU22" s="21">
        <v>3229074</v>
      </c>
      <c r="AV22" s="21">
        <v>5170</v>
      </c>
      <c r="AW22" s="21">
        <v>12319</v>
      </c>
      <c r="AX22" s="21">
        <v>483865</v>
      </c>
      <c r="AY22" s="21">
        <v>2509204</v>
      </c>
      <c r="AZ22" s="21"/>
      <c r="BA22" s="21"/>
      <c r="BB22" s="21"/>
      <c r="BC22" s="21"/>
      <c r="BD22" s="21">
        <v>462110</v>
      </c>
      <c r="BE22" s="21">
        <v>1824121</v>
      </c>
      <c r="BF22" s="21">
        <v>288041</v>
      </c>
      <c r="BG22" s="21">
        <v>1180892</v>
      </c>
      <c r="BH22" s="21">
        <v>274391</v>
      </c>
      <c r="BI22" s="21">
        <v>891682</v>
      </c>
      <c r="BJ22" s="21"/>
      <c r="BK22" s="21"/>
      <c r="BL22" s="21">
        <v>956132</v>
      </c>
      <c r="BM22" s="21">
        <v>3696258</v>
      </c>
      <c r="BN22" s="143">
        <v>1034159</v>
      </c>
      <c r="BO22" s="143">
        <v>3200556</v>
      </c>
      <c r="BP22" s="21">
        <v>203645</v>
      </c>
      <c r="BQ22" s="21">
        <v>656262</v>
      </c>
      <c r="BR22" s="21">
        <f t="shared" ref="BR22:BS25" si="2">B22+D22+F22+H22+J22+L22+N22+P22+R22+T22+V22+X22+Z22+AB22+AD22+AF22+AH22+AJ22+AL22+AN22+AP22+AR22+AT22+AV22+AX22+BB22+BD22+BF22+BH22+BJ22+BL22+BN22+BP22</f>
        <v>15306904.725</v>
      </c>
      <c r="BS22" s="21">
        <f t="shared" si="2"/>
        <v>55738039.068999998</v>
      </c>
    </row>
    <row r="23" spans="1:71" x14ac:dyDescent="0.25">
      <c r="A23" s="21" t="s">
        <v>70</v>
      </c>
      <c r="B23" s="21"/>
      <c r="C23" s="21"/>
      <c r="D23" s="21"/>
      <c r="E23" s="21"/>
      <c r="F23" s="21"/>
      <c r="G23" s="21"/>
      <c r="H23" s="21"/>
      <c r="I23" s="21"/>
      <c r="J23" s="123"/>
      <c r="K23" s="123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>
        <v>36</v>
      </c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>
        <v>0</v>
      </c>
      <c r="AQ23" s="21">
        <v>39.9</v>
      </c>
      <c r="AR23" s="21">
        <v>3251</v>
      </c>
      <c r="AS23" s="21">
        <v>30775</v>
      </c>
      <c r="AT23" s="21">
        <v>1763</v>
      </c>
      <c r="AU23" s="21">
        <v>3559</v>
      </c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>
        <v>1246</v>
      </c>
      <c r="BM23" s="21">
        <v>5012</v>
      </c>
      <c r="BN23" s="143">
        <v>0</v>
      </c>
      <c r="BO23" s="143">
        <v>0</v>
      </c>
      <c r="BP23" s="21"/>
      <c r="BQ23" s="21"/>
      <c r="BR23" s="21">
        <f t="shared" si="2"/>
        <v>6260</v>
      </c>
      <c r="BS23" s="21">
        <f t="shared" si="2"/>
        <v>39421.9</v>
      </c>
    </row>
    <row r="24" spans="1:71" x14ac:dyDescent="0.25">
      <c r="A24" s="21" t="s">
        <v>71</v>
      </c>
      <c r="B24" s="21">
        <v>2879</v>
      </c>
      <c r="C24" s="21">
        <v>18361</v>
      </c>
      <c r="D24" s="21"/>
      <c r="E24" s="21"/>
      <c r="F24" s="21"/>
      <c r="G24" s="21"/>
      <c r="H24" s="21"/>
      <c r="I24" s="21"/>
      <c r="J24" s="123">
        <v>225888</v>
      </c>
      <c r="K24" s="123">
        <v>387918</v>
      </c>
      <c r="L24" s="21">
        <v>146471</v>
      </c>
      <c r="M24" s="21">
        <v>190313</v>
      </c>
      <c r="N24" s="21">
        <v>393739</v>
      </c>
      <c r="O24" s="21">
        <v>1173820</v>
      </c>
      <c r="P24" s="21"/>
      <c r="Q24" s="21"/>
      <c r="R24" s="21">
        <v>-609</v>
      </c>
      <c r="S24" s="21">
        <v>-732</v>
      </c>
      <c r="T24" s="21">
        <v>354</v>
      </c>
      <c r="U24" s="21">
        <v>680</v>
      </c>
      <c r="V24" s="21"/>
      <c r="W24" s="21"/>
      <c r="X24" s="21">
        <f>14617+10250</f>
        <v>24867</v>
      </c>
      <c r="Y24" s="21">
        <f>16213+37205</f>
        <v>53418</v>
      </c>
      <c r="Z24" s="21">
        <v>26196</v>
      </c>
      <c r="AA24" s="21">
        <v>65951</v>
      </c>
      <c r="AB24" s="21">
        <f>-200922-210252</f>
        <v>-411174</v>
      </c>
      <c r="AC24" s="21">
        <f>-581448-750610</f>
        <v>-1332058</v>
      </c>
      <c r="AD24" s="21">
        <v>632955</v>
      </c>
      <c r="AE24" s="21">
        <v>1629668</v>
      </c>
      <c r="AF24" s="21">
        <v>294700</v>
      </c>
      <c r="AG24" s="21">
        <v>1051251</v>
      </c>
      <c r="AH24" s="21">
        <v>2844</v>
      </c>
      <c r="AI24" s="21">
        <v>10123</v>
      </c>
      <c r="AJ24" s="21">
        <f>2238+9001</f>
        <v>11239</v>
      </c>
      <c r="AK24" s="21">
        <f>7863+33041</f>
        <v>40904</v>
      </c>
      <c r="AL24" s="21">
        <v>-257877</v>
      </c>
      <c r="AM24" s="21">
        <v>-646653</v>
      </c>
      <c r="AN24" s="21"/>
      <c r="AO24" s="21"/>
      <c r="AP24" s="21">
        <v>251530.10800000001</v>
      </c>
      <c r="AQ24" s="21">
        <v>899365.35700000008</v>
      </c>
      <c r="AR24" s="21">
        <v>97363</v>
      </c>
      <c r="AS24" s="21">
        <v>375449</v>
      </c>
      <c r="AT24" s="21">
        <v>50719</v>
      </c>
      <c r="AU24" s="21">
        <v>205203</v>
      </c>
      <c r="AV24" s="21">
        <v>2316</v>
      </c>
      <c r="AW24" s="21">
        <v>5772</v>
      </c>
      <c r="AX24" s="21">
        <v>361204</v>
      </c>
      <c r="AY24" s="21">
        <v>1658336</v>
      </c>
      <c r="AZ24" s="21"/>
      <c r="BA24" s="21"/>
      <c r="BB24" s="21"/>
      <c r="BC24" s="21"/>
      <c r="BD24" s="21">
        <v>-221914</v>
      </c>
      <c r="BE24" s="21">
        <v>-964271</v>
      </c>
      <c r="BF24" s="21">
        <v>13930</v>
      </c>
      <c r="BG24" s="21">
        <v>53859</v>
      </c>
      <c r="BH24" s="21">
        <v>25214</v>
      </c>
      <c r="BI24" s="21">
        <v>85042</v>
      </c>
      <c r="BJ24" s="21"/>
      <c r="BK24" s="21"/>
      <c r="BL24" s="21">
        <v>546223</v>
      </c>
      <c r="BM24" s="21">
        <v>1889962</v>
      </c>
      <c r="BN24" s="143">
        <v>71097</v>
      </c>
      <c r="BO24" s="143">
        <v>259443</v>
      </c>
      <c r="BP24" s="21">
        <v>10617</v>
      </c>
      <c r="BQ24" s="21">
        <v>33479</v>
      </c>
      <c r="BR24" s="21">
        <f t="shared" si="2"/>
        <v>2300771.108</v>
      </c>
      <c r="BS24" s="21">
        <f t="shared" si="2"/>
        <v>7144603.3569999998</v>
      </c>
    </row>
    <row r="25" spans="1:71" x14ac:dyDescent="0.25">
      <c r="A25" s="21" t="s">
        <v>72</v>
      </c>
      <c r="B25" s="21">
        <v>5033</v>
      </c>
      <c r="C25" s="21">
        <v>-5021</v>
      </c>
      <c r="D25" s="21"/>
      <c r="E25" s="21"/>
      <c r="F25" s="21"/>
      <c r="G25" s="21"/>
      <c r="H25" s="21"/>
      <c r="I25" s="21"/>
      <c r="J25" s="123">
        <v>705728</v>
      </c>
      <c r="K25" s="123">
        <v>3869333</v>
      </c>
      <c r="L25" s="21">
        <v>192144</v>
      </c>
      <c r="M25" s="21">
        <v>1045068</v>
      </c>
      <c r="N25" s="21">
        <v>191826</v>
      </c>
      <c r="O25" s="21">
        <v>621673</v>
      </c>
      <c r="P25" s="21"/>
      <c r="Q25" s="21"/>
      <c r="R25" s="21">
        <v>7109</v>
      </c>
      <c r="S25" s="21">
        <v>6987</v>
      </c>
      <c r="T25" s="21">
        <v>3238</v>
      </c>
      <c r="U25" s="21">
        <v>6142</v>
      </c>
      <c r="V25" s="21"/>
      <c r="W25" s="21"/>
      <c r="X25" s="21">
        <f>29023+183641</f>
        <v>212664</v>
      </c>
      <c r="Y25" s="21">
        <f>54576+637194</f>
        <v>691770</v>
      </c>
      <c r="Z25" s="21">
        <v>87514</v>
      </c>
      <c r="AA25" s="21">
        <v>218333</v>
      </c>
      <c r="AB25" s="21">
        <f>-128011+595874</f>
        <v>467863</v>
      </c>
      <c r="AC25" s="21">
        <f>-415099+2192870</f>
        <v>1777771</v>
      </c>
      <c r="AD25" s="21">
        <v>1227283</v>
      </c>
      <c r="AE25" s="21">
        <v>5175826</v>
      </c>
      <c r="AF25" s="21">
        <v>671224</v>
      </c>
      <c r="AG25" s="21">
        <v>2290082</v>
      </c>
      <c r="AH25" s="21">
        <v>47548</v>
      </c>
      <c r="AI25" s="21">
        <v>161190</v>
      </c>
      <c r="AJ25" s="21">
        <f>98+234160</f>
        <v>234258</v>
      </c>
      <c r="AK25" s="21">
        <f>3730+810774</f>
        <v>814504</v>
      </c>
      <c r="AL25" s="21">
        <v>-132751</v>
      </c>
      <c r="AM25" s="21">
        <v>-212350</v>
      </c>
      <c r="AN25" s="21"/>
      <c r="AO25" s="21"/>
      <c r="AP25" s="21">
        <v>1285056.6170000001</v>
      </c>
      <c r="AQ25" s="21">
        <v>4451438.6120000007</v>
      </c>
      <c r="AR25" s="21">
        <v>2713100</v>
      </c>
      <c r="AS25" s="21">
        <v>9779112</v>
      </c>
      <c r="AT25" s="21">
        <v>854165</v>
      </c>
      <c r="AU25" s="21">
        <v>3027430</v>
      </c>
      <c r="AV25" s="21">
        <v>2854</v>
      </c>
      <c r="AW25" s="21">
        <v>6547</v>
      </c>
      <c r="AX25" s="21">
        <v>122661</v>
      </c>
      <c r="AY25" s="21">
        <v>850868</v>
      </c>
      <c r="AZ25" s="21"/>
      <c r="BA25" s="21"/>
      <c r="BB25" s="21"/>
      <c r="BC25" s="21"/>
      <c r="BD25" s="21">
        <v>240196</v>
      </c>
      <c r="BE25" s="21">
        <v>859850</v>
      </c>
      <c r="BF25" s="21">
        <v>274111</v>
      </c>
      <c r="BG25" s="21">
        <v>1127033</v>
      </c>
      <c r="BH25" s="21">
        <v>249178</v>
      </c>
      <c r="BI25" s="21">
        <v>806640</v>
      </c>
      <c r="BJ25" s="21"/>
      <c r="BK25" s="21"/>
      <c r="BL25" s="21">
        <v>411155</v>
      </c>
      <c r="BM25" s="21">
        <v>1811308</v>
      </c>
      <c r="BN25" s="143">
        <v>963062</v>
      </c>
      <c r="BO25" s="143">
        <v>2941113</v>
      </c>
      <c r="BP25" s="21">
        <v>193028</v>
      </c>
      <c r="BQ25" s="21">
        <v>622783</v>
      </c>
      <c r="BR25" s="21">
        <f t="shared" si="2"/>
        <v>11229247.617000001</v>
      </c>
      <c r="BS25" s="21">
        <f t="shared" si="2"/>
        <v>42745430.612000003</v>
      </c>
    </row>
    <row r="27" spans="1:71" x14ac:dyDescent="0.25">
      <c r="A27" s="13" t="s">
        <v>143</v>
      </c>
    </row>
    <row r="28" spans="1:71" s="15" customFormat="1" x14ac:dyDescent="0.25">
      <c r="A28" s="23" t="s">
        <v>0</v>
      </c>
      <c r="B28" s="200" t="s">
        <v>1</v>
      </c>
      <c r="C28" s="200"/>
      <c r="D28" s="200" t="s">
        <v>2</v>
      </c>
      <c r="E28" s="200"/>
      <c r="F28" s="200" t="s">
        <v>3</v>
      </c>
      <c r="G28" s="200"/>
      <c r="H28" s="200" t="s">
        <v>4</v>
      </c>
      <c r="I28" s="200"/>
      <c r="J28" s="200" t="s">
        <v>5</v>
      </c>
      <c r="K28" s="200"/>
      <c r="L28" s="200" t="s">
        <v>6</v>
      </c>
      <c r="M28" s="200"/>
      <c r="N28" s="200" t="s">
        <v>7</v>
      </c>
      <c r="O28" s="200"/>
      <c r="P28" s="200" t="s">
        <v>8</v>
      </c>
      <c r="Q28" s="200"/>
      <c r="R28" s="200" t="s">
        <v>9</v>
      </c>
      <c r="S28" s="200"/>
      <c r="T28" s="200" t="s">
        <v>10</v>
      </c>
      <c r="U28" s="200"/>
      <c r="V28" s="200" t="s">
        <v>11</v>
      </c>
      <c r="W28" s="200"/>
      <c r="X28" s="200" t="s">
        <v>12</v>
      </c>
      <c r="Y28" s="200"/>
      <c r="Z28" s="200" t="s">
        <v>13</v>
      </c>
      <c r="AA28" s="200"/>
      <c r="AB28" s="200" t="s">
        <v>14</v>
      </c>
      <c r="AC28" s="200"/>
      <c r="AD28" s="200" t="s">
        <v>15</v>
      </c>
      <c r="AE28" s="200"/>
      <c r="AF28" s="200" t="s">
        <v>16</v>
      </c>
      <c r="AG28" s="200"/>
      <c r="AH28" s="200" t="s">
        <v>17</v>
      </c>
      <c r="AI28" s="200"/>
      <c r="AJ28" s="200" t="s">
        <v>18</v>
      </c>
      <c r="AK28" s="200"/>
      <c r="AL28" s="200" t="s">
        <v>19</v>
      </c>
      <c r="AM28" s="200"/>
      <c r="AN28" s="200" t="s">
        <v>20</v>
      </c>
      <c r="AO28" s="200"/>
      <c r="AP28" s="200" t="s">
        <v>21</v>
      </c>
      <c r="AQ28" s="200"/>
      <c r="AR28" s="200" t="s">
        <v>147</v>
      </c>
      <c r="AS28" s="200"/>
      <c r="AT28" s="200" t="s">
        <v>148</v>
      </c>
      <c r="AU28" s="200"/>
      <c r="AV28" s="200" t="s">
        <v>22</v>
      </c>
      <c r="AW28" s="200"/>
      <c r="AX28" s="200" t="s">
        <v>23</v>
      </c>
      <c r="AY28" s="200"/>
      <c r="AZ28" s="200" t="s">
        <v>332</v>
      </c>
      <c r="BA28" s="200"/>
      <c r="BB28" s="200" t="s">
        <v>24</v>
      </c>
      <c r="BC28" s="200"/>
      <c r="BD28" s="200" t="s">
        <v>25</v>
      </c>
      <c r="BE28" s="200"/>
      <c r="BF28" s="200" t="s">
        <v>26</v>
      </c>
      <c r="BG28" s="200"/>
      <c r="BH28" s="200" t="s">
        <v>27</v>
      </c>
      <c r="BI28" s="200"/>
      <c r="BJ28" s="200" t="s">
        <v>28</v>
      </c>
      <c r="BK28" s="200"/>
      <c r="BL28" s="200" t="s">
        <v>29</v>
      </c>
      <c r="BM28" s="200"/>
      <c r="BN28" s="200" t="s">
        <v>30</v>
      </c>
      <c r="BO28" s="200"/>
      <c r="BP28" s="200" t="s">
        <v>31</v>
      </c>
      <c r="BQ28" s="200"/>
      <c r="BR28" s="200" t="s">
        <v>250</v>
      </c>
      <c r="BS28" s="200"/>
    </row>
    <row r="29" spans="1:71" s="42" customFormat="1" ht="44.25" customHeight="1" x14ac:dyDescent="0.25">
      <c r="A29" s="43"/>
      <c r="B29" s="43" t="s">
        <v>321</v>
      </c>
      <c r="C29" s="43" t="s">
        <v>322</v>
      </c>
      <c r="D29" s="43" t="s">
        <v>321</v>
      </c>
      <c r="E29" s="43" t="s">
        <v>322</v>
      </c>
      <c r="F29" s="43" t="s">
        <v>321</v>
      </c>
      <c r="G29" s="43" t="s">
        <v>322</v>
      </c>
      <c r="H29" s="43" t="s">
        <v>321</v>
      </c>
      <c r="I29" s="43" t="s">
        <v>322</v>
      </c>
      <c r="J29" s="43" t="s">
        <v>321</v>
      </c>
      <c r="K29" s="43" t="s">
        <v>322</v>
      </c>
      <c r="L29" s="43" t="s">
        <v>321</v>
      </c>
      <c r="M29" s="43" t="s">
        <v>322</v>
      </c>
      <c r="N29" s="43" t="s">
        <v>321</v>
      </c>
      <c r="O29" s="43" t="s">
        <v>322</v>
      </c>
      <c r="P29" s="43" t="s">
        <v>321</v>
      </c>
      <c r="Q29" s="43" t="s">
        <v>322</v>
      </c>
      <c r="R29" s="43" t="s">
        <v>321</v>
      </c>
      <c r="S29" s="43" t="s">
        <v>322</v>
      </c>
      <c r="T29" s="43" t="s">
        <v>321</v>
      </c>
      <c r="U29" s="43" t="s">
        <v>322</v>
      </c>
      <c r="V29" s="43" t="s">
        <v>321</v>
      </c>
      <c r="W29" s="43" t="s">
        <v>322</v>
      </c>
      <c r="X29" s="43" t="s">
        <v>321</v>
      </c>
      <c r="Y29" s="43" t="s">
        <v>322</v>
      </c>
      <c r="Z29" s="43" t="s">
        <v>321</v>
      </c>
      <c r="AA29" s="43" t="s">
        <v>322</v>
      </c>
      <c r="AB29" s="43" t="s">
        <v>321</v>
      </c>
      <c r="AC29" s="43" t="s">
        <v>322</v>
      </c>
      <c r="AD29" s="43" t="s">
        <v>321</v>
      </c>
      <c r="AE29" s="43" t="s">
        <v>322</v>
      </c>
      <c r="AF29" s="43" t="s">
        <v>321</v>
      </c>
      <c r="AG29" s="43" t="s">
        <v>322</v>
      </c>
      <c r="AH29" s="43" t="s">
        <v>321</v>
      </c>
      <c r="AI29" s="43" t="s">
        <v>322</v>
      </c>
      <c r="AJ29" s="43" t="s">
        <v>321</v>
      </c>
      <c r="AK29" s="43" t="s">
        <v>322</v>
      </c>
      <c r="AL29" s="43" t="s">
        <v>321</v>
      </c>
      <c r="AM29" s="43" t="s">
        <v>322</v>
      </c>
      <c r="AN29" s="43" t="s">
        <v>321</v>
      </c>
      <c r="AO29" s="43" t="s">
        <v>322</v>
      </c>
      <c r="AP29" s="43" t="s">
        <v>321</v>
      </c>
      <c r="AQ29" s="43" t="s">
        <v>322</v>
      </c>
      <c r="AR29" s="43" t="s">
        <v>321</v>
      </c>
      <c r="AS29" s="43" t="s">
        <v>322</v>
      </c>
      <c r="AT29" s="43" t="s">
        <v>321</v>
      </c>
      <c r="AU29" s="43" t="s">
        <v>322</v>
      </c>
      <c r="AV29" s="43" t="s">
        <v>321</v>
      </c>
      <c r="AW29" s="43" t="s">
        <v>322</v>
      </c>
      <c r="AX29" s="43" t="s">
        <v>321</v>
      </c>
      <c r="AY29" s="43" t="s">
        <v>322</v>
      </c>
      <c r="AZ29" s="43" t="s">
        <v>321</v>
      </c>
      <c r="BA29" s="43" t="s">
        <v>322</v>
      </c>
      <c r="BB29" s="43" t="s">
        <v>321</v>
      </c>
      <c r="BC29" s="43" t="s">
        <v>322</v>
      </c>
      <c r="BD29" s="43" t="s">
        <v>321</v>
      </c>
      <c r="BE29" s="43" t="s">
        <v>322</v>
      </c>
      <c r="BF29" s="43" t="s">
        <v>321</v>
      </c>
      <c r="BG29" s="43" t="s">
        <v>322</v>
      </c>
      <c r="BH29" s="43" t="s">
        <v>321</v>
      </c>
      <c r="BI29" s="43" t="s">
        <v>322</v>
      </c>
      <c r="BJ29" s="43" t="s">
        <v>321</v>
      </c>
      <c r="BK29" s="43" t="s">
        <v>322</v>
      </c>
      <c r="BL29" s="43" t="s">
        <v>321</v>
      </c>
      <c r="BM29" s="43" t="s">
        <v>322</v>
      </c>
      <c r="BN29" s="43" t="s">
        <v>321</v>
      </c>
      <c r="BO29" s="43" t="s">
        <v>322</v>
      </c>
      <c r="BP29" s="43" t="s">
        <v>321</v>
      </c>
      <c r="BQ29" s="43" t="s">
        <v>322</v>
      </c>
      <c r="BR29" s="43" t="s">
        <v>321</v>
      </c>
      <c r="BS29" s="43" t="s">
        <v>322</v>
      </c>
    </row>
    <row r="30" spans="1:71" x14ac:dyDescent="0.25">
      <c r="A30" s="21" t="s">
        <v>69</v>
      </c>
      <c r="B30" s="21"/>
      <c r="C30" s="21"/>
      <c r="D30" s="21"/>
      <c r="E30" s="21"/>
      <c r="F30" s="21"/>
      <c r="G30" s="21"/>
      <c r="H30" s="21"/>
      <c r="I30" s="21"/>
      <c r="J30" s="124">
        <v>5973</v>
      </c>
      <c r="K30" s="124">
        <v>82966</v>
      </c>
      <c r="L30" s="21">
        <v>6609</v>
      </c>
      <c r="M30" s="21">
        <v>20878</v>
      </c>
      <c r="N30" s="21">
        <v>8132</v>
      </c>
      <c r="O30" s="21">
        <v>25058</v>
      </c>
      <c r="P30" s="21"/>
      <c r="Q30" s="21"/>
      <c r="R30" s="21"/>
      <c r="S30" s="21"/>
      <c r="T30" s="21"/>
      <c r="U30" s="21"/>
      <c r="V30" s="21"/>
      <c r="W30" s="21"/>
      <c r="X30" s="21">
        <v>11304</v>
      </c>
      <c r="Y30" s="21">
        <v>42746</v>
      </c>
      <c r="Z30" s="21">
        <v>-978</v>
      </c>
      <c r="AA30" s="21">
        <v>1337</v>
      </c>
      <c r="AB30" s="21">
        <v>27989</v>
      </c>
      <c r="AC30" s="21">
        <v>105251</v>
      </c>
      <c r="AD30" s="21">
        <v>37864</v>
      </c>
      <c r="AE30" s="21">
        <v>191087</v>
      </c>
      <c r="AF30" s="21">
        <v>29323</v>
      </c>
      <c r="AG30" s="21">
        <v>101942</v>
      </c>
      <c r="AH30" s="21">
        <v>106</v>
      </c>
      <c r="AI30" s="21">
        <v>375</v>
      </c>
      <c r="AJ30" s="21">
        <v>5874</v>
      </c>
      <c r="AK30" s="21">
        <v>20456</v>
      </c>
      <c r="AL30" s="21">
        <v>3035</v>
      </c>
      <c r="AM30" s="21">
        <v>9547</v>
      </c>
      <c r="AN30" s="21"/>
      <c r="AO30" s="21"/>
      <c r="AP30" s="21">
        <v>49248.633999999991</v>
      </c>
      <c r="AQ30" s="21">
        <v>183912.25099999999</v>
      </c>
      <c r="AR30" s="21">
        <v>185030</v>
      </c>
      <c r="AS30" s="21">
        <v>602914</v>
      </c>
      <c r="AT30" s="21">
        <v>47203</v>
      </c>
      <c r="AU30" s="21">
        <v>170336</v>
      </c>
      <c r="AV30" s="21">
        <v>276</v>
      </c>
      <c r="AW30" s="21">
        <v>962</v>
      </c>
      <c r="AX30" s="21">
        <v>13910</v>
      </c>
      <c r="AY30" s="21">
        <v>53015</v>
      </c>
      <c r="AZ30" s="21"/>
      <c r="BA30" s="21"/>
      <c r="BB30" s="21"/>
      <c r="BC30" s="21"/>
      <c r="BD30" s="21">
        <v>11303</v>
      </c>
      <c r="BE30" s="21">
        <v>52366</v>
      </c>
      <c r="BF30" s="21">
        <v>6058</v>
      </c>
      <c r="BG30" s="21">
        <v>23718</v>
      </c>
      <c r="BH30" s="21">
        <v>2629</v>
      </c>
      <c r="BI30" s="21">
        <v>11498</v>
      </c>
      <c r="BJ30" s="21"/>
      <c r="BK30" s="21"/>
      <c r="BL30" s="21">
        <v>22105</v>
      </c>
      <c r="BM30" s="21">
        <v>89314</v>
      </c>
      <c r="BN30" s="143">
        <v>108095</v>
      </c>
      <c r="BO30" s="143">
        <v>316669</v>
      </c>
      <c r="BP30" s="21">
        <v>2353</v>
      </c>
      <c r="BQ30" s="21">
        <v>7048</v>
      </c>
      <c r="BR30" s="21">
        <f t="shared" ref="BR30:BS33" si="3">B30+D30+F30+H30+J30+L30+N30+P30+R30+T30+V30+X30+Z30+AB30+AD30+AF30+AH30+AJ30+AL30+AN30+AP30+AR30+AT30+AV30+AX30+BB30+BD30+BF30+BH30+BJ30+BL30+BN30+BP30</f>
        <v>583441.63399999996</v>
      </c>
      <c r="BS30" s="21">
        <f t="shared" si="3"/>
        <v>2113395.2510000002</v>
      </c>
    </row>
    <row r="31" spans="1:71" x14ac:dyDescent="0.25">
      <c r="A31" s="21" t="s">
        <v>70</v>
      </c>
      <c r="B31" s="21"/>
      <c r="C31" s="21"/>
      <c r="D31" s="21"/>
      <c r="E31" s="21"/>
      <c r="F31" s="21"/>
      <c r="G31" s="21"/>
      <c r="H31" s="21"/>
      <c r="I31" s="21"/>
      <c r="J31" s="124">
        <v>991</v>
      </c>
      <c r="K31" s="124">
        <v>7846</v>
      </c>
      <c r="L31" s="21">
        <v>159</v>
      </c>
      <c r="M31" s="21">
        <v>468</v>
      </c>
      <c r="N31" s="21">
        <v>61</v>
      </c>
      <c r="O31" s="21">
        <v>274</v>
      </c>
      <c r="P31" s="21"/>
      <c r="Q31" s="21"/>
      <c r="R31" s="21">
        <v>22</v>
      </c>
      <c r="S31" s="21">
        <v>83</v>
      </c>
      <c r="T31" s="21">
        <v>119</v>
      </c>
      <c r="U31" s="21">
        <v>452</v>
      </c>
      <c r="V31" s="21"/>
      <c r="W31" s="21"/>
      <c r="X31" s="21">
        <v>1380</v>
      </c>
      <c r="Y31" s="21">
        <v>-3837</v>
      </c>
      <c r="Z31" s="21">
        <v>519</v>
      </c>
      <c r="AA31" s="21">
        <v>2179</v>
      </c>
      <c r="AB31" s="21">
        <v>2365</v>
      </c>
      <c r="AC31" s="21">
        <v>5698</v>
      </c>
      <c r="AD31" s="21">
        <v>8927</v>
      </c>
      <c r="AE31" s="21">
        <v>78090</v>
      </c>
      <c r="AF31" s="21">
        <v>5683</v>
      </c>
      <c r="AG31" s="21">
        <v>5868</v>
      </c>
      <c r="AH31" s="21">
        <v>12</v>
      </c>
      <c r="AI31" s="21">
        <v>55</v>
      </c>
      <c r="AJ31" s="21">
        <v>25</v>
      </c>
      <c r="AK31" s="21">
        <v>116</v>
      </c>
      <c r="AL31" s="21">
        <v>681</v>
      </c>
      <c r="AM31" s="21">
        <v>1475</v>
      </c>
      <c r="AN31" s="21"/>
      <c r="AO31" s="21"/>
      <c r="AP31" s="21">
        <v>34083.911</v>
      </c>
      <c r="AQ31" s="21">
        <v>65460.322</v>
      </c>
      <c r="AR31" s="21">
        <v>54346</v>
      </c>
      <c r="AS31" s="21">
        <v>118403</v>
      </c>
      <c r="AT31" s="21">
        <v>8375</v>
      </c>
      <c r="AU31" s="21">
        <v>104546</v>
      </c>
      <c r="AV31" s="21">
        <v>1</v>
      </c>
      <c r="AW31" s="21">
        <v>32</v>
      </c>
      <c r="AX31" s="21">
        <v>636</v>
      </c>
      <c r="AY31" s="21">
        <v>3203</v>
      </c>
      <c r="AZ31" s="21"/>
      <c r="BA31" s="21"/>
      <c r="BB31" s="21"/>
      <c r="BC31" s="21"/>
      <c r="BD31" s="21">
        <v>2032</v>
      </c>
      <c r="BE31" s="21">
        <v>3778</v>
      </c>
      <c r="BF31" s="21">
        <v>185</v>
      </c>
      <c r="BG31" s="21">
        <v>953</v>
      </c>
      <c r="BH31" s="21">
        <v>218</v>
      </c>
      <c r="BI31" s="21">
        <v>1120</v>
      </c>
      <c r="BJ31" s="21"/>
      <c r="BK31" s="21"/>
      <c r="BL31" s="21">
        <v>571</v>
      </c>
      <c r="BM31" s="21">
        <v>3006</v>
      </c>
      <c r="BN31" s="143">
        <v>1565</v>
      </c>
      <c r="BO31" s="143">
        <v>67512</v>
      </c>
      <c r="BP31" s="21">
        <v>109</v>
      </c>
      <c r="BQ31" s="21">
        <v>560</v>
      </c>
      <c r="BR31" s="21">
        <f t="shared" si="3"/>
        <v>123065.91099999999</v>
      </c>
      <c r="BS31" s="21">
        <f t="shared" si="3"/>
        <v>467340.32199999999</v>
      </c>
    </row>
    <row r="32" spans="1:71" x14ac:dyDescent="0.25">
      <c r="A32" s="21" t="s">
        <v>71</v>
      </c>
      <c r="B32" s="21"/>
      <c r="C32" s="21"/>
      <c r="D32" s="21"/>
      <c r="E32" s="21"/>
      <c r="F32" s="21"/>
      <c r="G32" s="21"/>
      <c r="H32" s="21"/>
      <c r="I32" s="21"/>
      <c r="J32" s="124">
        <v>58001</v>
      </c>
      <c r="K32" s="123">
        <v>218766</v>
      </c>
      <c r="L32" s="21">
        <v>14783</v>
      </c>
      <c r="M32" s="21">
        <v>44514</v>
      </c>
      <c r="N32" s="21">
        <v>21220</v>
      </c>
      <c r="O32" s="21">
        <v>44352</v>
      </c>
      <c r="P32" s="21"/>
      <c r="Q32" s="21"/>
      <c r="R32" s="21"/>
      <c r="S32" s="21">
        <v>-1529</v>
      </c>
      <c r="T32" s="21"/>
      <c r="U32" s="21"/>
      <c r="V32" s="21"/>
      <c r="W32" s="21"/>
      <c r="X32" s="21">
        <v>15261</v>
      </c>
      <c r="Y32" s="21">
        <v>51737</v>
      </c>
      <c r="Z32" s="21">
        <v>1661</v>
      </c>
      <c r="AA32" s="21">
        <v>6324</v>
      </c>
      <c r="AB32" s="21">
        <v>-50357</v>
      </c>
      <c r="AC32" s="21">
        <v>-214135</v>
      </c>
      <c r="AD32" s="21">
        <v>201485</v>
      </c>
      <c r="AE32" s="21">
        <v>462496</v>
      </c>
      <c r="AF32" s="21">
        <v>15529</v>
      </c>
      <c r="AG32" s="21">
        <v>55045</v>
      </c>
      <c r="AH32" s="21">
        <v>321</v>
      </c>
      <c r="AI32" s="21">
        <v>587</v>
      </c>
      <c r="AJ32" s="21">
        <v>7602</v>
      </c>
      <c r="AK32" s="21">
        <v>32227</v>
      </c>
      <c r="AL32" s="21">
        <v>-5099</v>
      </c>
      <c r="AM32" s="21">
        <v>-11322</v>
      </c>
      <c r="AN32" s="21"/>
      <c r="AO32" s="21"/>
      <c r="AP32" s="21">
        <v>22009.281999999999</v>
      </c>
      <c r="AQ32" s="21">
        <v>59388.745000000003</v>
      </c>
      <c r="AR32" s="21">
        <v>213245</v>
      </c>
      <c r="AS32" s="21">
        <v>426845</v>
      </c>
      <c r="AT32" s="21">
        <v>18019</v>
      </c>
      <c r="AU32" s="21">
        <v>97063</v>
      </c>
      <c r="AV32" s="21">
        <v>188</v>
      </c>
      <c r="AW32" s="21">
        <v>643</v>
      </c>
      <c r="AX32" s="21">
        <v>14278</v>
      </c>
      <c r="AY32" s="21">
        <v>81443</v>
      </c>
      <c r="AZ32" s="21"/>
      <c r="BA32" s="21"/>
      <c r="BB32" s="21"/>
      <c r="BC32" s="21"/>
      <c r="BD32" s="21">
        <v>-11954</v>
      </c>
      <c r="BE32" s="21">
        <v>-136501</v>
      </c>
      <c r="BF32" s="21">
        <v>7857</v>
      </c>
      <c r="BG32" s="21">
        <v>42626</v>
      </c>
      <c r="BH32" s="21">
        <v>7957</v>
      </c>
      <c r="BI32" s="21">
        <v>19462</v>
      </c>
      <c r="BJ32" s="21"/>
      <c r="BK32" s="21"/>
      <c r="BL32" s="21">
        <v>101077</v>
      </c>
      <c r="BM32" s="21">
        <v>244088</v>
      </c>
      <c r="BN32" s="143">
        <v>47820</v>
      </c>
      <c r="BO32" s="143">
        <v>170309</v>
      </c>
      <c r="BP32" s="21">
        <v>3750</v>
      </c>
      <c r="BQ32" s="21">
        <v>11908</v>
      </c>
      <c r="BR32" s="21">
        <f t="shared" si="3"/>
        <v>704653.28200000001</v>
      </c>
      <c r="BS32" s="21">
        <f t="shared" si="3"/>
        <v>1706336.7450000001</v>
      </c>
    </row>
    <row r="33" spans="1:71" x14ac:dyDescent="0.25">
      <c r="A33" s="21" t="s">
        <v>72</v>
      </c>
      <c r="B33" s="21"/>
      <c r="C33" s="21"/>
      <c r="D33" s="21"/>
      <c r="E33" s="21"/>
      <c r="F33" s="21"/>
      <c r="G33" s="21"/>
      <c r="H33" s="21"/>
      <c r="I33" s="21"/>
      <c r="J33" s="124">
        <v>-51037</v>
      </c>
      <c r="K33" s="123">
        <v>-127954</v>
      </c>
      <c r="L33" s="21">
        <v>-8015</v>
      </c>
      <c r="M33" s="21">
        <v>-23168</v>
      </c>
      <c r="N33" s="21">
        <v>-13027</v>
      </c>
      <c r="O33" s="21">
        <v>-19020</v>
      </c>
      <c r="P33" s="21"/>
      <c r="Q33" s="21"/>
      <c r="R33" s="21">
        <v>22</v>
      </c>
      <c r="S33" s="21">
        <v>-1446</v>
      </c>
      <c r="T33" s="21">
        <v>119</v>
      </c>
      <c r="U33" s="21">
        <v>452</v>
      </c>
      <c r="V33" s="21"/>
      <c r="W33" s="21"/>
      <c r="X33" s="21">
        <v>-2577</v>
      </c>
      <c r="Y33" s="21">
        <v>-12828</v>
      </c>
      <c r="Z33" s="21">
        <v>-2120</v>
      </c>
      <c r="AA33" s="21">
        <v>-2808</v>
      </c>
      <c r="AB33" s="21">
        <v>-20002</v>
      </c>
      <c r="AC33" s="21">
        <v>-103186</v>
      </c>
      <c r="AD33" s="21">
        <v>-154694</v>
      </c>
      <c r="AE33" s="21">
        <v>-193319</v>
      </c>
      <c r="AF33" s="21">
        <v>19477</v>
      </c>
      <c r="AG33" s="21">
        <v>52765</v>
      </c>
      <c r="AH33" s="21">
        <v>-203</v>
      </c>
      <c r="AI33" s="21">
        <v>-157</v>
      </c>
      <c r="AJ33" s="21">
        <v>-1703</v>
      </c>
      <c r="AK33" s="21">
        <v>-11656</v>
      </c>
      <c r="AL33" s="21">
        <v>-1383</v>
      </c>
      <c r="AM33" s="21">
        <v>-300</v>
      </c>
      <c r="AN33" s="21"/>
      <c r="AO33" s="21"/>
      <c r="AP33" s="21">
        <v>61323.262999999984</v>
      </c>
      <c r="AQ33" s="21">
        <v>189983.82799999998</v>
      </c>
      <c r="AR33" s="21">
        <v>26131</v>
      </c>
      <c r="AS33" s="21">
        <v>294472</v>
      </c>
      <c r="AT33" s="21">
        <v>37559</v>
      </c>
      <c r="AU33" s="21">
        <v>177819</v>
      </c>
      <c r="AV33" s="21">
        <v>89</v>
      </c>
      <c r="AW33" s="21">
        <v>351</v>
      </c>
      <c r="AX33" s="21">
        <v>268</v>
      </c>
      <c r="AY33" s="21">
        <v>-25225</v>
      </c>
      <c r="AZ33" s="21"/>
      <c r="BA33" s="21"/>
      <c r="BB33" s="21"/>
      <c r="BC33" s="21"/>
      <c r="BD33" s="21">
        <v>1381</v>
      </c>
      <c r="BE33" s="21">
        <v>-80357</v>
      </c>
      <c r="BF33" s="21">
        <v>-1614</v>
      </c>
      <c r="BG33" s="21">
        <v>-17955</v>
      </c>
      <c r="BH33" s="21">
        <v>-5109</v>
      </c>
      <c r="BI33" s="21">
        <v>-6844</v>
      </c>
      <c r="BJ33" s="21"/>
      <c r="BK33" s="21"/>
      <c r="BL33" s="21">
        <v>-78401</v>
      </c>
      <c r="BM33" s="21">
        <v>-151768</v>
      </c>
      <c r="BN33" s="143">
        <v>61840</v>
      </c>
      <c r="BO33" s="143">
        <v>213872</v>
      </c>
      <c r="BP33" s="21">
        <v>-1288</v>
      </c>
      <c r="BQ33" s="21">
        <v>-4300</v>
      </c>
      <c r="BR33" s="21">
        <f t="shared" si="3"/>
        <v>-132963.73700000002</v>
      </c>
      <c r="BS33" s="21">
        <f t="shared" si="3"/>
        <v>147423.82799999998</v>
      </c>
    </row>
    <row r="35" spans="1:71" x14ac:dyDescent="0.25">
      <c r="A35" s="13" t="s">
        <v>169</v>
      </c>
    </row>
    <row r="36" spans="1:71" s="15" customFormat="1" x14ac:dyDescent="0.25">
      <c r="A36" s="23" t="s">
        <v>0</v>
      </c>
      <c r="B36" s="200" t="s">
        <v>1</v>
      </c>
      <c r="C36" s="200"/>
      <c r="D36" s="200" t="s">
        <v>2</v>
      </c>
      <c r="E36" s="200"/>
      <c r="F36" s="200" t="s">
        <v>3</v>
      </c>
      <c r="G36" s="200"/>
      <c r="H36" s="200" t="s">
        <v>4</v>
      </c>
      <c r="I36" s="200"/>
      <c r="J36" s="200" t="s">
        <v>5</v>
      </c>
      <c r="K36" s="200"/>
      <c r="L36" s="200" t="s">
        <v>6</v>
      </c>
      <c r="M36" s="200"/>
      <c r="N36" s="200" t="s">
        <v>7</v>
      </c>
      <c r="O36" s="200"/>
      <c r="P36" s="200" t="s">
        <v>8</v>
      </c>
      <c r="Q36" s="200"/>
      <c r="R36" s="200" t="s">
        <v>9</v>
      </c>
      <c r="S36" s="200"/>
      <c r="T36" s="200" t="s">
        <v>10</v>
      </c>
      <c r="U36" s="200"/>
      <c r="V36" s="200" t="s">
        <v>11</v>
      </c>
      <c r="W36" s="200"/>
      <c r="X36" s="200" t="s">
        <v>12</v>
      </c>
      <c r="Y36" s="200"/>
      <c r="Z36" s="200" t="s">
        <v>13</v>
      </c>
      <c r="AA36" s="200"/>
      <c r="AB36" s="200" t="s">
        <v>14</v>
      </c>
      <c r="AC36" s="200"/>
      <c r="AD36" s="200" t="s">
        <v>15</v>
      </c>
      <c r="AE36" s="200"/>
      <c r="AF36" s="200" t="s">
        <v>16</v>
      </c>
      <c r="AG36" s="200"/>
      <c r="AH36" s="200" t="s">
        <v>17</v>
      </c>
      <c r="AI36" s="200"/>
      <c r="AJ36" s="200" t="s">
        <v>18</v>
      </c>
      <c r="AK36" s="200"/>
      <c r="AL36" s="200" t="s">
        <v>19</v>
      </c>
      <c r="AM36" s="200"/>
      <c r="AN36" s="200" t="s">
        <v>20</v>
      </c>
      <c r="AO36" s="200"/>
      <c r="AP36" s="200" t="s">
        <v>21</v>
      </c>
      <c r="AQ36" s="200"/>
      <c r="AR36" s="200" t="s">
        <v>147</v>
      </c>
      <c r="AS36" s="200"/>
      <c r="AT36" s="200" t="s">
        <v>148</v>
      </c>
      <c r="AU36" s="200"/>
      <c r="AV36" s="200" t="s">
        <v>22</v>
      </c>
      <c r="AW36" s="200"/>
      <c r="AX36" s="200" t="s">
        <v>23</v>
      </c>
      <c r="AY36" s="200"/>
      <c r="AZ36" s="200" t="s">
        <v>332</v>
      </c>
      <c r="BA36" s="200"/>
      <c r="BB36" s="200" t="s">
        <v>24</v>
      </c>
      <c r="BC36" s="200"/>
      <c r="BD36" s="200" t="s">
        <v>25</v>
      </c>
      <c r="BE36" s="200"/>
      <c r="BF36" s="200" t="s">
        <v>26</v>
      </c>
      <c r="BG36" s="200"/>
      <c r="BH36" s="200" t="s">
        <v>27</v>
      </c>
      <c r="BI36" s="200"/>
      <c r="BJ36" s="200" t="s">
        <v>28</v>
      </c>
      <c r="BK36" s="200"/>
      <c r="BL36" s="200" t="s">
        <v>29</v>
      </c>
      <c r="BM36" s="200"/>
      <c r="BN36" s="200" t="s">
        <v>30</v>
      </c>
      <c r="BO36" s="200"/>
      <c r="BP36" s="200" t="s">
        <v>31</v>
      </c>
      <c r="BQ36" s="200"/>
      <c r="BR36" s="200" t="s">
        <v>250</v>
      </c>
      <c r="BS36" s="200"/>
    </row>
    <row r="37" spans="1:71" s="42" customFormat="1" ht="44.25" customHeight="1" x14ac:dyDescent="0.25">
      <c r="A37" s="43"/>
      <c r="B37" s="43" t="s">
        <v>321</v>
      </c>
      <c r="C37" s="43" t="s">
        <v>322</v>
      </c>
      <c r="D37" s="43" t="s">
        <v>321</v>
      </c>
      <c r="E37" s="43" t="s">
        <v>322</v>
      </c>
      <c r="F37" s="43" t="s">
        <v>321</v>
      </c>
      <c r="G37" s="43" t="s">
        <v>322</v>
      </c>
      <c r="H37" s="43" t="s">
        <v>321</v>
      </c>
      <c r="I37" s="43" t="s">
        <v>322</v>
      </c>
      <c r="J37" s="43" t="s">
        <v>321</v>
      </c>
      <c r="K37" s="43" t="s">
        <v>322</v>
      </c>
      <c r="L37" s="43" t="s">
        <v>321</v>
      </c>
      <c r="M37" s="43" t="s">
        <v>322</v>
      </c>
      <c r="N37" s="43" t="s">
        <v>321</v>
      </c>
      <c r="O37" s="43" t="s">
        <v>322</v>
      </c>
      <c r="P37" s="43" t="s">
        <v>321</v>
      </c>
      <c r="Q37" s="43" t="s">
        <v>322</v>
      </c>
      <c r="R37" s="43" t="s">
        <v>321</v>
      </c>
      <c r="S37" s="43" t="s">
        <v>322</v>
      </c>
      <c r="T37" s="43" t="s">
        <v>321</v>
      </c>
      <c r="U37" s="43" t="s">
        <v>322</v>
      </c>
      <c r="V37" s="43" t="s">
        <v>321</v>
      </c>
      <c r="W37" s="43" t="s">
        <v>322</v>
      </c>
      <c r="X37" s="43" t="s">
        <v>321</v>
      </c>
      <c r="Y37" s="43" t="s">
        <v>322</v>
      </c>
      <c r="Z37" s="43" t="s">
        <v>321</v>
      </c>
      <c r="AA37" s="43" t="s">
        <v>322</v>
      </c>
      <c r="AB37" s="43" t="s">
        <v>321</v>
      </c>
      <c r="AC37" s="43" t="s">
        <v>322</v>
      </c>
      <c r="AD37" s="43" t="s">
        <v>321</v>
      </c>
      <c r="AE37" s="43" t="s">
        <v>322</v>
      </c>
      <c r="AF37" s="43" t="s">
        <v>321</v>
      </c>
      <c r="AG37" s="43" t="s">
        <v>322</v>
      </c>
      <c r="AH37" s="43" t="s">
        <v>321</v>
      </c>
      <c r="AI37" s="43" t="s">
        <v>322</v>
      </c>
      <c r="AJ37" s="43" t="s">
        <v>321</v>
      </c>
      <c r="AK37" s="43" t="s">
        <v>322</v>
      </c>
      <c r="AL37" s="43" t="s">
        <v>321</v>
      </c>
      <c r="AM37" s="43" t="s">
        <v>322</v>
      </c>
      <c r="AN37" s="43" t="s">
        <v>321</v>
      </c>
      <c r="AO37" s="43" t="s">
        <v>322</v>
      </c>
      <c r="AP37" s="43" t="s">
        <v>321</v>
      </c>
      <c r="AQ37" s="43" t="s">
        <v>322</v>
      </c>
      <c r="AR37" s="43" t="s">
        <v>321</v>
      </c>
      <c r="AS37" s="43" t="s">
        <v>322</v>
      </c>
      <c r="AT37" s="43" t="s">
        <v>321</v>
      </c>
      <c r="AU37" s="43" t="s">
        <v>322</v>
      </c>
      <c r="AV37" s="43" t="s">
        <v>321</v>
      </c>
      <c r="AW37" s="43" t="s">
        <v>322</v>
      </c>
      <c r="AX37" s="43" t="s">
        <v>321</v>
      </c>
      <c r="AY37" s="43" t="s">
        <v>322</v>
      </c>
      <c r="AZ37" s="43" t="s">
        <v>321</v>
      </c>
      <c r="BA37" s="43" t="s">
        <v>322</v>
      </c>
      <c r="BB37" s="43" t="s">
        <v>321</v>
      </c>
      <c r="BC37" s="43" t="s">
        <v>322</v>
      </c>
      <c r="BD37" s="43" t="s">
        <v>321</v>
      </c>
      <c r="BE37" s="43" t="s">
        <v>322</v>
      </c>
      <c r="BF37" s="43" t="s">
        <v>321</v>
      </c>
      <c r="BG37" s="43" t="s">
        <v>322</v>
      </c>
      <c r="BH37" s="43" t="s">
        <v>321</v>
      </c>
      <c r="BI37" s="43" t="s">
        <v>322</v>
      </c>
      <c r="BJ37" s="43" t="s">
        <v>321</v>
      </c>
      <c r="BK37" s="43" t="s">
        <v>322</v>
      </c>
      <c r="BL37" s="43" t="s">
        <v>321</v>
      </c>
      <c r="BM37" s="43" t="s">
        <v>322</v>
      </c>
      <c r="BN37" s="43" t="s">
        <v>321</v>
      </c>
      <c r="BO37" s="43" t="s">
        <v>322</v>
      </c>
      <c r="BP37" s="43" t="s">
        <v>321</v>
      </c>
      <c r="BQ37" s="43" t="s">
        <v>322</v>
      </c>
      <c r="BR37" s="43" t="s">
        <v>321</v>
      </c>
      <c r="BS37" s="43" t="s">
        <v>322</v>
      </c>
    </row>
    <row r="38" spans="1:71" x14ac:dyDescent="0.25">
      <c r="A38" s="21" t="s">
        <v>69</v>
      </c>
      <c r="B38" s="21"/>
      <c r="C38" s="21"/>
      <c r="D38" s="21">
        <v>183084</v>
      </c>
      <c r="E38" s="21">
        <v>497035</v>
      </c>
      <c r="F38" s="21"/>
      <c r="G38" s="21"/>
      <c r="H38" s="21">
        <v>938588</v>
      </c>
      <c r="I38" s="21">
        <v>2370439</v>
      </c>
      <c r="J38" s="123">
        <v>490312</v>
      </c>
      <c r="K38" s="123">
        <v>1669443</v>
      </c>
      <c r="L38" s="21">
        <v>70679</v>
      </c>
      <c r="M38" s="21">
        <v>289042</v>
      </c>
      <c r="N38" s="21">
        <v>75480</v>
      </c>
      <c r="O38" s="21">
        <v>263047</v>
      </c>
      <c r="P38" s="21">
        <v>155830</v>
      </c>
      <c r="Q38" s="21">
        <v>539754</v>
      </c>
      <c r="R38" s="21">
        <v>11727</v>
      </c>
      <c r="S38" s="21">
        <v>131552</v>
      </c>
      <c r="T38" s="21">
        <v>10442</v>
      </c>
      <c r="U38" s="21">
        <v>17147</v>
      </c>
      <c r="V38" s="21"/>
      <c r="W38" s="21"/>
      <c r="X38" s="21">
        <v>60574</v>
      </c>
      <c r="Y38" s="21">
        <v>167702</v>
      </c>
      <c r="Z38" s="21">
        <v>559</v>
      </c>
      <c r="AA38" s="21">
        <v>905</v>
      </c>
      <c r="AB38" s="21">
        <v>394136</v>
      </c>
      <c r="AC38" s="21">
        <v>1411611</v>
      </c>
      <c r="AD38" s="21">
        <v>564760</v>
      </c>
      <c r="AE38" s="21">
        <v>1891918</v>
      </c>
      <c r="AF38" s="21">
        <v>158851</v>
      </c>
      <c r="AG38" s="21">
        <v>534213</v>
      </c>
      <c r="AH38" s="21">
        <v>23722</v>
      </c>
      <c r="AI38" s="21">
        <v>63988</v>
      </c>
      <c r="AJ38" s="21">
        <v>59514</v>
      </c>
      <c r="AK38" s="21">
        <v>156082</v>
      </c>
      <c r="AL38" s="21">
        <v>48477</v>
      </c>
      <c r="AM38" s="21">
        <v>74794</v>
      </c>
      <c r="AN38" s="44">
        <v>409259</v>
      </c>
      <c r="AO38" s="44">
        <v>1071543</v>
      </c>
      <c r="AP38" s="21">
        <v>1068183.196</v>
      </c>
      <c r="AQ38" s="21">
        <v>3181961.7340000002</v>
      </c>
      <c r="AR38" s="21">
        <v>1614164</v>
      </c>
      <c r="AS38" s="21">
        <v>5513534</v>
      </c>
      <c r="AT38" s="21">
        <v>823126</v>
      </c>
      <c r="AU38" s="21">
        <v>2584840</v>
      </c>
      <c r="AV38" s="21">
        <v>14</v>
      </c>
      <c r="AW38" s="21">
        <v>57</v>
      </c>
      <c r="AX38" s="21">
        <v>46162</v>
      </c>
      <c r="AY38" s="21">
        <v>425267</v>
      </c>
      <c r="AZ38" s="21">
        <v>1996</v>
      </c>
      <c r="BA38" s="21">
        <v>2103</v>
      </c>
      <c r="BB38" s="21">
        <v>601809</v>
      </c>
      <c r="BC38" s="21">
        <v>1795564</v>
      </c>
      <c r="BD38" s="21">
        <v>119744</v>
      </c>
      <c r="BE38" s="21">
        <v>386647</v>
      </c>
      <c r="BF38" s="21">
        <v>195760</v>
      </c>
      <c r="BG38" s="21">
        <v>562263</v>
      </c>
      <c r="BH38" s="21">
        <v>267</v>
      </c>
      <c r="BI38" s="21">
        <v>1190</v>
      </c>
      <c r="BJ38" s="21"/>
      <c r="BK38" s="21"/>
      <c r="BL38" s="21">
        <v>178701</v>
      </c>
      <c r="BM38" s="21">
        <v>682255</v>
      </c>
      <c r="BN38" s="143">
        <v>951873</v>
      </c>
      <c r="BO38" s="143">
        <v>2723576</v>
      </c>
      <c r="BP38" s="21">
        <v>54452</v>
      </c>
      <c r="BQ38" s="21">
        <v>175132</v>
      </c>
      <c r="BR38" s="21">
        <f t="shared" ref="BR38:BS41" si="4">B38+D38+F38+H38+J38+L38+N38+P38+R38+T38+V38+X38+Z38+AB38+AD38+AF38+AH38+AJ38+AL38+AN38+AP38+AR38+AT38+AV38+AX38+BB38+BD38+BF38+BH38+BJ38+BL38+BN38+BP38</f>
        <v>9310249.1960000005</v>
      </c>
      <c r="BS38" s="21">
        <f t="shared" si="4"/>
        <v>29182501.734000001</v>
      </c>
    </row>
    <row r="39" spans="1:71" x14ac:dyDescent="0.25">
      <c r="A39" s="21" t="s">
        <v>70</v>
      </c>
      <c r="B39" s="21"/>
      <c r="C39" s="21"/>
      <c r="D39" s="21"/>
      <c r="E39" s="21"/>
      <c r="F39" s="21"/>
      <c r="G39" s="21"/>
      <c r="H39" s="21"/>
      <c r="I39" s="21"/>
      <c r="J39" s="123"/>
      <c r="K39" s="123"/>
      <c r="L39" s="21"/>
      <c r="M39" s="21"/>
      <c r="N39" s="21"/>
      <c r="O39" s="21"/>
      <c r="P39" s="21"/>
      <c r="Q39" s="21"/>
      <c r="R39" s="21"/>
      <c r="S39" s="21"/>
      <c r="T39" s="21">
        <v>2645</v>
      </c>
      <c r="U39" s="21">
        <v>8021</v>
      </c>
      <c r="V39" s="21"/>
      <c r="W39" s="21"/>
      <c r="X39" s="21"/>
      <c r="Y39" s="21"/>
      <c r="Z39" s="21"/>
      <c r="AA39" s="21"/>
      <c r="AB39" s="21">
        <v>175</v>
      </c>
      <c r="AC39" s="21">
        <v>9</v>
      </c>
      <c r="AD39" s="21">
        <v>35928</v>
      </c>
      <c r="AE39" s="21">
        <v>65489</v>
      </c>
      <c r="AF39" s="21"/>
      <c r="AG39" s="21"/>
      <c r="AH39" s="21"/>
      <c r="AI39" s="21"/>
      <c r="AJ39" s="21"/>
      <c r="AK39" s="21"/>
      <c r="AL39" s="21"/>
      <c r="AM39" s="21"/>
      <c r="AN39" s="44"/>
      <c r="AO39" s="44"/>
      <c r="AP39" s="21">
        <v>0</v>
      </c>
      <c r="AQ39" s="21">
        <v>0</v>
      </c>
      <c r="AR39" s="21">
        <v>0</v>
      </c>
      <c r="AS39" s="21">
        <v>0</v>
      </c>
      <c r="AT39" s="21">
        <v>5499</v>
      </c>
      <c r="AU39" s="21">
        <v>10975</v>
      </c>
      <c r="AV39" s="21"/>
      <c r="AW39" s="21"/>
      <c r="AX39" s="21"/>
      <c r="AY39" s="21"/>
      <c r="AZ39" s="21"/>
      <c r="BA39" s="21"/>
      <c r="BB39" s="21">
        <v>1013</v>
      </c>
      <c r="BC39" s="21">
        <v>21443</v>
      </c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143">
        <v>0</v>
      </c>
      <c r="BO39" s="143">
        <v>0</v>
      </c>
      <c r="BP39" s="21"/>
      <c r="BQ39" s="21"/>
      <c r="BR39" s="21">
        <f t="shared" si="4"/>
        <v>45260</v>
      </c>
      <c r="BS39" s="21">
        <f t="shared" si="4"/>
        <v>105937</v>
      </c>
    </row>
    <row r="40" spans="1:71" x14ac:dyDescent="0.25">
      <c r="A40" s="21" t="s">
        <v>71</v>
      </c>
      <c r="B40" s="21">
        <v>636</v>
      </c>
      <c r="C40" s="21">
        <v>1582</v>
      </c>
      <c r="D40" s="21">
        <v>9832</v>
      </c>
      <c r="E40" s="21">
        <v>26128</v>
      </c>
      <c r="F40" s="21"/>
      <c r="G40" s="21"/>
      <c r="H40" s="21">
        <v>51466</v>
      </c>
      <c r="I40" s="21">
        <v>1014366</v>
      </c>
      <c r="J40" s="123">
        <v>331495</v>
      </c>
      <c r="K40" s="123">
        <v>917943</v>
      </c>
      <c r="L40" s="21">
        <v>38225</v>
      </c>
      <c r="M40" s="21">
        <v>302419</v>
      </c>
      <c r="N40" s="21">
        <v>74012</v>
      </c>
      <c r="O40" s="21">
        <v>93361</v>
      </c>
      <c r="P40" s="21">
        <v>32495</v>
      </c>
      <c r="Q40" s="21">
        <v>59928</v>
      </c>
      <c r="R40" s="21">
        <v>-32789</v>
      </c>
      <c r="S40" s="21">
        <v>-380353</v>
      </c>
      <c r="T40" s="21">
        <v>37739</v>
      </c>
      <c r="U40" s="21">
        <v>135989</v>
      </c>
      <c r="V40" s="21"/>
      <c r="W40" s="21"/>
      <c r="X40" s="21">
        <v>45603</v>
      </c>
      <c r="Y40" s="21">
        <v>110564</v>
      </c>
      <c r="Z40" s="21">
        <v>196</v>
      </c>
      <c r="AA40" s="21">
        <v>1094</v>
      </c>
      <c r="AB40" s="21">
        <v>-770194</v>
      </c>
      <c r="AC40" s="21">
        <v>-2879158</v>
      </c>
      <c r="AD40" s="21">
        <v>1288154</v>
      </c>
      <c r="AE40" s="21">
        <v>4642276</v>
      </c>
      <c r="AF40" s="21">
        <v>26630</v>
      </c>
      <c r="AG40" s="21">
        <v>66722</v>
      </c>
      <c r="AH40" s="21">
        <v>2650</v>
      </c>
      <c r="AI40" s="21">
        <v>6942</v>
      </c>
      <c r="AJ40" s="21">
        <v>3235</v>
      </c>
      <c r="AK40" s="21">
        <v>10426</v>
      </c>
      <c r="AL40" s="21">
        <v>-33590</v>
      </c>
      <c r="AM40" s="21">
        <v>-79633</v>
      </c>
      <c r="AN40" s="44">
        <v>217414</v>
      </c>
      <c r="AO40" s="44">
        <v>794960</v>
      </c>
      <c r="AP40" s="21">
        <v>-1008126.2259999999</v>
      </c>
      <c r="AQ40" s="21">
        <v>924219.90399999998</v>
      </c>
      <c r="AR40" s="21">
        <v>205820</v>
      </c>
      <c r="AS40" s="21">
        <v>824296</v>
      </c>
      <c r="AT40" s="21">
        <v>9837</v>
      </c>
      <c r="AU40" s="21">
        <v>194068</v>
      </c>
      <c r="AV40" s="21">
        <v>3</v>
      </c>
      <c r="AW40" s="21">
        <v>7</v>
      </c>
      <c r="AX40" s="21">
        <v>42721</v>
      </c>
      <c r="AY40" s="21">
        <v>366052</v>
      </c>
      <c r="AZ40" s="21">
        <v>5580</v>
      </c>
      <c r="BA40" s="21">
        <v>5621</v>
      </c>
      <c r="BB40" s="21">
        <v>712638</v>
      </c>
      <c r="BC40" s="21">
        <v>2142717</v>
      </c>
      <c r="BD40" s="21">
        <v>-59453</v>
      </c>
      <c r="BE40" s="21">
        <v>-246876</v>
      </c>
      <c r="BF40" s="21">
        <v>14289</v>
      </c>
      <c r="BG40" s="21">
        <v>34790</v>
      </c>
      <c r="BH40" s="21">
        <v>22</v>
      </c>
      <c r="BI40" s="21">
        <v>102</v>
      </c>
      <c r="BJ40" s="21"/>
      <c r="BK40" s="21"/>
      <c r="BL40" s="21">
        <v>393532</v>
      </c>
      <c r="BM40" s="21">
        <v>1464275</v>
      </c>
      <c r="BN40" s="143">
        <v>-108134</v>
      </c>
      <c r="BO40" s="143">
        <v>107062</v>
      </c>
      <c r="BP40" s="21">
        <v>6914</v>
      </c>
      <c r="BQ40" s="21">
        <v>27749</v>
      </c>
      <c r="BR40" s="21">
        <f t="shared" si="4"/>
        <v>1533271.7740000002</v>
      </c>
      <c r="BS40" s="21">
        <f t="shared" si="4"/>
        <v>10684017.903999999</v>
      </c>
    </row>
    <row r="41" spans="1:71" x14ac:dyDescent="0.25">
      <c r="A41" s="21" t="s">
        <v>72</v>
      </c>
      <c r="B41" s="21">
        <v>-636</v>
      </c>
      <c r="C41" s="21">
        <v>-1582</v>
      </c>
      <c r="D41" s="21">
        <v>173252</v>
      </c>
      <c r="E41" s="21">
        <v>470907</v>
      </c>
      <c r="F41" s="21"/>
      <c r="G41" s="21"/>
      <c r="H41" s="21">
        <v>887122</v>
      </c>
      <c r="I41" s="21">
        <v>1356073</v>
      </c>
      <c r="J41" s="123">
        <v>158817</v>
      </c>
      <c r="K41" s="123">
        <v>751500</v>
      </c>
      <c r="L41" s="21">
        <v>32455</v>
      </c>
      <c r="M41" s="21">
        <v>-13377</v>
      </c>
      <c r="N41" s="21">
        <v>1468</v>
      </c>
      <c r="O41" s="21">
        <v>169686</v>
      </c>
      <c r="P41" s="21">
        <v>123335</v>
      </c>
      <c r="Q41" s="21">
        <v>479826</v>
      </c>
      <c r="R41" s="21">
        <v>-21062</v>
      </c>
      <c r="S41" s="21">
        <v>-248801</v>
      </c>
      <c r="T41" s="21">
        <v>-24652</v>
      </c>
      <c r="U41" s="21">
        <v>-110821</v>
      </c>
      <c r="V41" s="21"/>
      <c r="W41" s="21"/>
      <c r="X41" s="21">
        <v>14971</v>
      </c>
      <c r="Y41" s="21">
        <v>57138</v>
      </c>
      <c r="Z41" s="21">
        <v>363</v>
      </c>
      <c r="AA41" s="21">
        <v>-189</v>
      </c>
      <c r="AB41" s="21">
        <v>-375882</v>
      </c>
      <c r="AC41" s="21">
        <v>-1467538</v>
      </c>
      <c r="AD41" s="21">
        <v>-687466</v>
      </c>
      <c r="AE41" s="21">
        <v>-2684869</v>
      </c>
      <c r="AF41" s="21">
        <v>132221</v>
      </c>
      <c r="AG41" s="21">
        <v>467491</v>
      </c>
      <c r="AH41" s="21">
        <v>21072</v>
      </c>
      <c r="AI41" s="21">
        <v>57046</v>
      </c>
      <c r="AJ41" s="21">
        <v>56278</v>
      </c>
      <c r="AK41" s="21">
        <v>145656</v>
      </c>
      <c r="AL41" s="21">
        <v>14887</v>
      </c>
      <c r="AM41" s="21">
        <v>-4839</v>
      </c>
      <c r="AN41" s="44">
        <v>191845</v>
      </c>
      <c r="AO41" s="44">
        <v>276583</v>
      </c>
      <c r="AP41" s="21">
        <v>2076309.4219999998</v>
      </c>
      <c r="AQ41" s="21">
        <v>2257741.83</v>
      </c>
      <c r="AR41" s="21">
        <v>1408343</v>
      </c>
      <c r="AS41" s="21">
        <v>4689239</v>
      </c>
      <c r="AT41" s="21">
        <v>818788</v>
      </c>
      <c r="AU41" s="21">
        <v>2401747</v>
      </c>
      <c r="AV41" s="21">
        <v>11</v>
      </c>
      <c r="AW41" s="21">
        <v>50</v>
      </c>
      <c r="AX41" s="21">
        <v>3441</v>
      </c>
      <c r="AY41" s="21">
        <v>59215</v>
      </c>
      <c r="AZ41" s="21">
        <v>-3584</v>
      </c>
      <c r="BA41" s="21">
        <v>-3518</v>
      </c>
      <c r="BB41" s="21">
        <v>-109816</v>
      </c>
      <c r="BC41" s="21">
        <v>-325710</v>
      </c>
      <c r="BD41" s="21">
        <v>60291</v>
      </c>
      <c r="BE41" s="21">
        <v>139771</v>
      </c>
      <c r="BF41" s="21">
        <v>181471</v>
      </c>
      <c r="BG41" s="21">
        <v>527473</v>
      </c>
      <c r="BH41" s="21">
        <v>245</v>
      </c>
      <c r="BI41" s="21">
        <v>1088</v>
      </c>
      <c r="BJ41" s="21"/>
      <c r="BK41" s="21"/>
      <c r="BL41" s="21">
        <v>-214831</v>
      </c>
      <c r="BM41" s="21">
        <v>-782020</v>
      </c>
      <c r="BN41" s="143">
        <v>1060007</v>
      </c>
      <c r="BO41" s="143">
        <v>2616514</v>
      </c>
      <c r="BP41" s="21">
        <v>47538</v>
      </c>
      <c r="BQ41" s="21">
        <v>147383</v>
      </c>
      <c r="BR41" s="21">
        <f t="shared" si="4"/>
        <v>6030185.4220000003</v>
      </c>
      <c r="BS41" s="21">
        <f t="shared" si="4"/>
        <v>11432381.83</v>
      </c>
    </row>
    <row r="43" spans="1:71" x14ac:dyDescent="0.25">
      <c r="A43" s="13" t="s">
        <v>144</v>
      </c>
    </row>
    <row r="44" spans="1:71" s="15" customFormat="1" x14ac:dyDescent="0.25">
      <c r="A44" s="23" t="s">
        <v>0</v>
      </c>
      <c r="B44" s="200" t="s">
        <v>1</v>
      </c>
      <c r="C44" s="200"/>
      <c r="D44" s="200" t="s">
        <v>2</v>
      </c>
      <c r="E44" s="200"/>
      <c r="F44" s="200" t="s">
        <v>3</v>
      </c>
      <c r="G44" s="200"/>
      <c r="H44" s="200" t="s">
        <v>4</v>
      </c>
      <c r="I44" s="200"/>
      <c r="J44" s="200" t="s">
        <v>5</v>
      </c>
      <c r="K44" s="200"/>
      <c r="L44" s="200" t="s">
        <v>6</v>
      </c>
      <c r="M44" s="200"/>
      <c r="N44" s="200" t="s">
        <v>7</v>
      </c>
      <c r="O44" s="200"/>
      <c r="P44" s="200" t="s">
        <v>8</v>
      </c>
      <c r="Q44" s="200"/>
      <c r="R44" s="200" t="s">
        <v>9</v>
      </c>
      <c r="S44" s="200"/>
      <c r="T44" s="200" t="s">
        <v>10</v>
      </c>
      <c r="U44" s="200"/>
      <c r="V44" s="200" t="s">
        <v>11</v>
      </c>
      <c r="W44" s="200"/>
      <c r="X44" s="200" t="s">
        <v>12</v>
      </c>
      <c r="Y44" s="200"/>
      <c r="Z44" s="200" t="s">
        <v>13</v>
      </c>
      <c r="AA44" s="200"/>
      <c r="AB44" s="200" t="s">
        <v>14</v>
      </c>
      <c r="AC44" s="200"/>
      <c r="AD44" s="200" t="s">
        <v>15</v>
      </c>
      <c r="AE44" s="200"/>
      <c r="AF44" s="200" t="s">
        <v>16</v>
      </c>
      <c r="AG44" s="200"/>
      <c r="AH44" s="200" t="s">
        <v>17</v>
      </c>
      <c r="AI44" s="200"/>
      <c r="AJ44" s="200" t="s">
        <v>18</v>
      </c>
      <c r="AK44" s="200"/>
      <c r="AL44" s="200" t="s">
        <v>19</v>
      </c>
      <c r="AM44" s="200"/>
      <c r="AN44" s="200" t="s">
        <v>20</v>
      </c>
      <c r="AO44" s="200"/>
      <c r="AP44" s="200" t="s">
        <v>21</v>
      </c>
      <c r="AQ44" s="200"/>
      <c r="AR44" s="200" t="s">
        <v>147</v>
      </c>
      <c r="AS44" s="200"/>
      <c r="AT44" s="200" t="s">
        <v>148</v>
      </c>
      <c r="AU44" s="200"/>
      <c r="AV44" s="200" t="s">
        <v>22</v>
      </c>
      <c r="AW44" s="200"/>
      <c r="AX44" s="200" t="s">
        <v>23</v>
      </c>
      <c r="AY44" s="200"/>
      <c r="AZ44" s="200" t="s">
        <v>332</v>
      </c>
      <c r="BA44" s="200"/>
      <c r="BB44" s="200" t="s">
        <v>24</v>
      </c>
      <c r="BC44" s="200"/>
      <c r="BD44" s="200" t="s">
        <v>25</v>
      </c>
      <c r="BE44" s="200"/>
      <c r="BF44" s="200" t="s">
        <v>26</v>
      </c>
      <c r="BG44" s="200"/>
      <c r="BH44" s="200" t="s">
        <v>27</v>
      </c>
      <c r="BI44" s="200"/>
      <c r="BJ44" s="200" t="s">
        <v>28</v>
      </c>
      <c r="BK44" s="200"/>
      <c r="BL44" s="200" t="s">
        <v>29</v>
      </c>
      <c r="BM44" s="200"/>
      <c r="BN44" s="200" t="s">
        <v>30</v>
      </c>
      <c r="BO44" s="200"/>
      <c r="BP44" s="200" t="s">
        <v>31</v>
      </c>
      <c r="BQ44" s="200"/>
      <c r="BR44" s="200" t="s">
        <v>250</v>
      </c>
      <c r="BS44" s="200"/>
    </row>
    <row r="45" spans="1:71" s="42" customFormat="1" ht="44.25" customHeight="1" x14ac:dyDescent="0.25">
      <c r="A45" s="43"/>
      <c r="B45" s="43" t="s">
        <v>321</v>
      </c>
      <c r="C45" s="43" t="s">
        <v>322</v>
      </c>
      <c r="D45" s="43" t="s">
        <v>321</v>
      </c>
      <c r="E45" s="43" t="s">
        <v>322</v>
      </c>
      <c r="F45" s="43" t="s">
        <v>321</v>
      </c>
      <c r="G45" s="43" t="s">
        <v>322</v>
      </c>
      <c r="H45" s="43" t="s">
        <v>321</v>
      </c>
      <c r="I45" s="43" t="s">
        <v>322</v>
      </c>
      <c r="J45" s="43" t="s">
        <v>321</v>
      </c>
      <c r="K45" s="43" t="s">
        <v>322</v>
      </c>
      <c r="L45" s="43" t="s">
        <v>321</v>
      </c>
      <c r="M45" s="43" t="s">
        <v>322</v>
      </c>
      <c r="N45" s="43" t="s">
        <v>321</v>
      </c>
      <c r="O45" s="43" t="s">
        <v>322</v>
      </c>
      <c r="P45" s="43" t="s">
        <v>321</v>
      </c>
      <c r="Q45" s="43" t="s">
        <v>322</v>
      </c>
      <c r="R45" s="43" t="s">
        <v>321</v>
      </c>
      <c r="S45" s="43" t="s">
        <v>322</v>
      </c>
      <c r="T45" s="43" t="s">
        <v>321</v>
      </c>
      <c r="U45" s="43" t="s">
        <v>322</v>
      </c>
      <c r="V45" s="43" t="s">
        <v>321</v>
      </c>
      <c r="W45" s="43" t="s">
        <v>322</v>
      </c>
      <c r="X45" s="43" t="s">
        <v>321</v>
      </c>
      <c r="Y45" s="43" t="s">
        <v>322</v>
      </c>
      <c r="Z45" s="43" t="s">
        <v>321</v>
      </c>
      <c r="AA45" s="43" t="s">
        <v>322</v>
      </c>
      <c r="AB45" s="43" t="s">
        <v>321</v>
      </c>
      <c r="AC45" s="43" t="s">
        <v>322</v>
      </c>
      <c r="AD45" s="43" t="s">
        <v>321</v>
      </c>
      <c r="AE45" s="43" t="s">
        <v>322</v>
      </c>
      <c r="AF45" s="43" t="s">
        <v>321</v>
      </c>
      <c r="AG45" s="43" t="s">
        <v>322</v>
      </c>
      <c r="AH45" s="43" t="s">
        <v>321</v>
      </c>
      <c r="AI45" s="43" t="s">
        <v>322</v>
      </c>
      <c r="AJ45" s="43" t="s">
        <v>321</v>
      </c>
      <c r="AK45" s="43" t="s">
        <v>322</v>
      </c>
      <c r="AL45" s="43" t="s">
        <v>321</v>
      </c>
      <c r="AM45" s="43" t="s">
        <v>322</v>
      </c>
      <c r="AN45" s="43" t="s">
        <v>321</v>
      </c>
      <c r="AO45" s="43" t="s">
        <v>322</v>
      </c>
      <c r="AP45" s="43" t="s">
        <v>321</v>
      </c>
      <c r="AQ45" s="43" t="s">
        <v>322</v>
      </c>
      <c r="AR45" s="43" t="s">
        <v>321</v>
      </c>
      <c r="AS45" s="43" t="s">
        <v>322</v>
      </c>
      <c r="AT45" s="43" t="s">
        <v>321</v>
      </c>
      <c r="AU45" s="43" t="s">
        <v>322</v>
      </c>
      <c r="AV45" s="43" t="s">
        <v>321</v>
      </c>
      <c r="AW45" s="43" t="s">
        <v>322</v>
      </c>
      <c r="AX45" s="43" t="s">
        <v>321</v>
      </c>
      <c r="AY45" s="43" t="s">
        <v>322</v>
      </c>
      <c r="AZ45" s="43" t="s">
        <v>321</v>
      </c>
      <c r="BA45" s="43" t="s">
        <v>322</v>
      </c>
      <c r="BB45" s="43" t="s">
        <v>321</v>
      </c>
      <c r="BC45" s="43" t="s">
        <v>322</v>
      </c>
      <c r="BD45" s="43" t="s">
        <v>321</v>
      </c>
      <c r="BE45" s="43" t="s">
        <v>322</v>
      </c>
      <c r="BF45" s="43" t="s">
        <v>321</v>
      </c>
      <c r="BG45" s="43" t="s">
        <v>322</v>
      </c>
      <c r="BH45" s="43" t="s">
        <v>321</v>
      </c>
      <c r="BI45" s="43" t="s">
        <v>322</v>
      </c>
      <c r="BJ45" s="43" t="s">
        <v>321</v>
      </c>
      <c r="BK45" s="43" t="s">
        <v>322</v>
      </c>
      <c r="BL45" s="43" t="s">
        <v>321</v>
      </c>
      <c r="BM45" s="43" t="s">
        <v>322</v>
      </c>
      <c r="BN45" s="43" t="s">
        <v>321</v>
      </c>
      <c r="BO45" s="43" t="s">
        <v>322</v>
      </c>
      <c r="BP45" s="43" t="s">
        <v>321</v>
      </c>
      <c r="BQ45" s="43" t="s">
        <v>322</v>
      </c>
      <c r="BR45" s="43" t="s">
        <v>321</v>
      </c>
      <c r="BS45" s="43" t="s">
        <v>322</v>
      </c>
    </row>
    <row r="46" spans="1:71" x14ac:dyDescent="0.25">
      <c r="A46" s="21" t="s">
        <v>69</v>
      </c>
      <c r="B46" s="21">
        <v>65</v>
      </c>
      <c r="C46" s="21">
        <v>226</v>
      </c>
      <c r="D46" s="21">
        <v>4372</v>
      </c>
      <c r="E46" s="21">
        <v>9166</v>
      </c>
      <c r="F46" s="21"/>
      <c r="G46" s="21"/>
      <c r="H46" s="21">
        <v>39622</v>
      </c>
      <c r="I46" s="21">
        <v>101141</v>
      </c>
      <c r="J46" s="124">
        <v>90551</v>
      </c>
      <c r="K46" s="123">
        <v>304245</v>
      </c>
      <c r="L46" s="21">
        <v>4066</v>
      </c>
      <c r="M46" s="21">
        <v>15311</v>
      </c>
      <c r="N46" s="21">
        <v>55424</v>
      </c>
      <c r="O46" s="21">
        <v>122099</v>
      </c>
      <c r="P46" s="21">
        <v>3814</v>
      </c>
      <c r="Q46" s="21">
        <v>21986</v>
      </c>
      <c r="R46" s="21">
        <v>1377</v>
      </c>
      <c r="S46" s="21">
        <v>32618</v>
      </c>
      <c r="T46" s="21">
        <v>1</v>
      </c>
      <c r="U46" s="21">
        <v>219</v>
      </c>
      <c r="V46" s="21"/>
      <c r="W46" s="21"/>
      <c r="X46" s="21">
        <v>19792</v>
      </c>
      <c r="Y46" s="21">
        <v>68589</v>
      </c>
      <c r="Z46" s="21">
        <v>10</v>
      </c>
      <c r="AA46" s="21">
        <v>10</v>
      </c>
      <c r="AB46" s="21">
        <v>203675</v>
      </c>
      <c r="AC46" s="21">
        <v>828854</v>
      </c>
      <c r="AD46" s="21">
        <v>139573</v>
      </c>
      <c r="AE46" s="21">
        <v>545445</v>
      </c>
      <c r="AF46" s="21">
        <v>24328</v>
      </c>
      <c r="AG46" s="21">
        <v>142948</v>
      </c>
      <c r="AH46" s="21">
        <v>1746</v>
      </c>
      <c r="AI46" s="21">
        <v>2167</v>
      </c>
      <c r="AJ46" s="21">
        <v>7866</v>
      </c>
      <c r="AK46" s="21">
        <v>19704</v>
      </c>
      <c r="AL46" s="21">
        <v>1070</v>
      </c>
      <c r="AM46" s="21">
        <v>5810</v>
      </c>
      <c r="AN46" s="44">
        <v>13832</v>
      </c>
      <c r="AO46" s="44">
        <v>45062</v>
      </c>
      <c r="AP46" s="21">
        <v>-2239.817999999992</v>
      </c>
      <c r="AQ46" s="21">
        <v>63716.968000000001</v>
      </c>
      <c r="AR46" s="21">
        <v>73277</v>
      </c>
      <c r="AS46" s="21">
        <v>291695</v>
      </c>
      <c r="AT46" s="21">
        <v>33135</v>
      </c>
      <c r="AU46" s="21">
        <v>135693</v>
      </c>
      <c r="AV46" s="21">
        <v>90</v>
      </c>
      <c r="AW46" s="21">
        <v>145</v>
      </c>
      <c r="AX46" s="21">
        <v>5202</v>
      </c>
      <c r="AY46" s="21">
        <v>37799</v>
      </c>
      <c r="AZ46" s="21"/>
      <c r="BA46" s="21"/>
      <c r="BB46" s="21">
        <v>61619</v>
      </c>
      <c r="BC46" s="21">
        <v>210711</v>
      </c>
      <c r="BD46" s="21">
        <v>17201</v>
      </c>
      <c r="BE46" s="21">
        <v>65319</v>
      </c>
      <c r="BF46" s="21">
        <v>250333</v>
      </c>
      <c r="BG46" s="21">
        <v>649721</v>
      </c>
      <c r="BH46" s="21">
        <v>2270</v>
      </c>
      <c r="BI46" s="21">
        <v>8281</v>
      </c>
      <c r="BJ46" s="21"/>
      <c r="BK46" s="21"/>
      <c r="BL46" s="21">
        <v>72538</v>
      </c>
      <c r="BM46" s="21">
        <v>281580</v>
      </c>
      <c r="BN46" s="143">
        <v>87308</v>
      </c>
      <c r="BO46" s="143">
        <v>231841</v>
      </c>
      <c r="BP46" s="21">
        <v>2933</v>
      </c>
      <c r="BQ46" s="21">
        <v>25636</v>
      </c>
      <c r="BR46" s="21">
        <f t="shared" ref="BR46:BS49" si="5">B46+D46+F46+H46+J46+L46+N46+P46+R46+T46+V46+X46+Z46+AB46+AD46+AF46+AH46+AJ46+AL46+AN46+AP46+AR46+AT46+AV46+AX46+BB46+BD46+BF46+BH46+BJ46+BL46+BN46+BP46</f>
        <v>1214850.182</v>
      </c>
      <c r="BS46" s="21">
        <f t="shared" si="5"/>
        <v>4267737.9680000003</v>
      </c>
    </row>
    <row r="47" spans="1:71" x14ac:dyDescent="0.25">
      <c r="A47" s="21" t="s">
        <v>70</v>
      </c>
      <c r="B47" s="21"/>
      <c r="C47" s="21"/>
      <c r="D47" s="21"/>
      <c r="E47" s="21"/>
      <c r="F47" s="21"/>
      <c r="G47" s="21"/>
      <c r="H47" s="21"/>
      <c r="I47" s="21"/>
      <c r="J47" s="123"/>
      <c r="K47" s="123"/>
      <c r="L47" s="21"/>
      <c r="M47" s="21"/>
      <c r="N47" s="21"/>
      <c r="O47" s="21"/>
      <c r="P47" s="21"/>
      <c r="Q47" s="21"/>
      <c r="R47" s="21"/>
      <c r="S47" s="21"/>
      <c r="T47" s="21">
        <v>7</v>
      </c>
      <c r="U47" s="21">
        <v>3071</v>
      </c>
      <c r="V47" s="21"/>
      <c r="W47" s="21"/>
      <c r="X47" s="21"/>
      <c r="Y47" s="21"/>
      <c r="Z47" s="21"/>
      <c r="AA47" s="21"/>
      <c r="AB47" s="21"/>
      <c r="AC47" s="21">
        <v>407</v>
      </c>
      <c r="AD47" s="21">
        <v>1381</v>
      </c>
      <c r="AE47" s="21">
        <v>5641</v>
      </c>
      <c r="AF47" s="21"/>
      <c r="AG47" s="21"/>
      <c r="AH47" s="21"/>
      <c r="AI47" s="21"/>
      <c r="AJ47" s="21"/>
      <c r="AK47" s="21"/>
      <c r="AL47" s="21"/>
      <c r="AM47" s="21">
        <v>5747</v>
      </c>
      <c r="AN47" s="44"/>
      <c r="AO47" s="44"/>
      <c r="AP47" s="21">
        <v>0</v>
      </c>
      <c r="AQ47" s="21">
        <v>0</v>
      </c>
      <c r="AR47" s="21">
        <v>10792</v>
      </c>
      <c r="AS47" s="21">
        <v>17323</v>
      </c>
      <c r="AT47" s="21">
        <v>21</v>
      </c>
      <c r="AU47" s="21">
        <v>30</v>
      </c>
      <c r="AV47" s="21"/>
      <c r="AW47" s="21"/>
      <c r="AX47" s="21"/>
      <c r="AY47" s="21"/>
      <c r="AZ47" s="21"/>
      <c r="BA47" s="21"/>
      <c r="BB47" s="21"/>
      <c r="BC47" s="21"/>
      <c r="BD47" s="21">
        <v>95</v>
      </c>
      <c r="BE47" s="21">
        <v>2964</v>
      </c>
      <c r="BF47" s="21"/>
      <c r="BG47" s="21"/>
      <c r="BH47" s="21"/>
      <c r="BI47" s="21"/>
      <c r="BJ47" s="21"/>
      <c r="BK47" s="21"/>
      <c r="BL47" s="21">
        <v>677</v>
      </c>
      <c r="BM47" s="21">
        <v>677</v>
      </c>
      <c r="BN47" s="143">
        <v>0</v>
      </c>
      <c r="BO47" s="143">
        <v>1</v>
      </c>
      <c r="BP47" s="21"/>
      <c r="BQ47" s="21"/>
      <c r="BR47" s="21">
        <f t="shared" si="5"/>
        <v>12973</v>
      </c>
      <c r="BS47" s="21">
        <f t="shared" si="5"/>
        <v>35861</v>
      </c>
    </row>
    <row r="48" spans="1:71" x14ac:dyDescent="0.25">
      <c r="A48" s="21" t="s">
        <v>71</v>
      </c>
      <c r="B48" s="21">
        <v>47</v>
      </c>
      <c r="C48" s="21">
        <v>65</v>
      </c>
      <c r="D48" s="21">
        <v>1577</v>
      </c>
      <c r="E48" s="21">
        <v>5560</v>
      </c>
      <c r="F48" s="21"/>
      <c r="G48" s="21"/>
      <c r="H48" s="21">
        <v>16130</v>
      </c>
      <c r="I48" s="21">
        <v>81907</v>
      </c>
      <c r="J48" s="124">
        <v>7362</v>
      </c>
      <c r="K48" s="124">
        <v>28722</v>
      </c>
      <c r="L48" s="21">
        <v>382</v>
      </c>
      <c r="M48" s="21">
        <v>1637</v>
      </c>
      <c r="N48" s="21">
        <v>6553</v>
      </c>
      <c r="O48" s="21">
        <v>50942</v>
      </c>
      <c r="P48" s="21">
        <v>3317</v>
      </c>
      <c r="Q48" s="21">
        <v>6062</v>
      </c>
      <c r="R48" s="21">
        <v>-2618</v>
      </c>
      <c r="S48" s="21">
        <v>-60539</v>
      </c>
      <c r="T48" s="21">
        <v>-2</v>
      </c>
      <c r="U48" s="21">
        <v>484</v>
      </c>
      <c r="V48" s="21"/>
      <c r="W48" s="21"/>
      <c r="X48" s="21">
        <v>11222</v>
      </c>
      <c r="Y48" s="21">
        <v>18070</v>
      </c>
      <c r="Z48" s="21">
        <v>8</v>
      </c>
      <c r="AA48" s="21">
        <v>8</v>
      </c>
      <c r="AB48" s="21">
        <v>-277757</v>
      </c>
      <c r="AC48" s="21">
        <v>-1126520</v>
      </c>
      <c r="AD48" s="21">
        <v>98235</v>
      </c>
      <c r="AE48" s="21">
        <v>515584</v>
      </c>
      <c r="AF48" s="21">
        <v>3021</v>
      </c>
      <c r="AG48" s="21">
        <v>20151</v>
      </c>
      <c r="AH48" s="21">
        <v>17793</v>
      </c>
      <c r="AI48" s="21">
        <v>40137</v>
      </c>
      <c r="AJ48" s="21">
        <v>402</v>
      </c>
      <c r="AK48" s="21">
        <v>1387</v>
      </c>
      <c r="AL48" s="21">
        <v>-1801</v>
      </c>
      <c r="AM48" s="21">
        <v>-6895</v>
      </c>
      <c r="AN48" s="44">
        <v>5290</v>
      </c>
      <c r="AO48" s="44">
        <v>13145</v>
      </c>
      <c r="AP48" s="21">
        <v>0</v>
      </c>
      <c r="AQ48" s="21">
        <v>0</v>
      </c>
      <c r="AR48" s="21">
        <v>13544</v>
      </c>
      <c r="AS48" s="21">
        <v>40743</v>
      </c>
      <c r="AT48" s="21">
        <v>14287</v>
      </c>
      <c r="AU48" s="21">
        <v>56944</v>
      </c>
      <c r="AV48" s="21">
        <v>123</v>
      </c>
      <c r="AW48" s="21">
        <v>406</v>
      </c>
      <c r="AX48" s="21">
        <v>752</v>
      </c>
      <c r="AY48" s="21">
        <v>3880</v>
      </c>
      <c r="AZ48" s="21"/>
      <c r="BA48" s="21"/>
      <c r="BB48" s="21">
        <v>42622</v>
      </c>
      <c r="BC48" s="21">
        <v>146867</v>
      </c>
      <c r="BD48" s="21">
        <v>-2282</v>
      </c>
      <c r="BE48" s="21">
        <v>-19506</v>
      </c>
      <c r="BF48" s="21">
        <v>23578</v>
      </c>
      <c r="BG48" s="21">
        <v>52285</v>
      </c>
      <c r="BH48" s="21">
        <v>10401</v>
      </c>
      <c r="BI48" s="21">
        <v>43867</v>
      </c>
      <c r="BJ48" s="21"/>
      <c r="BK48" s="21"/>
      <c r="BL48" s="21">
        <v>365670</v>
      </c>
      <c r="BM48" s="21">
        <v>1274588</v>
      </c>
      <c r="BN48" s="143">
        <v>163665</v>
      </c>
      <c r="BO48" s="143">
        <v>238444</v>
      </c>
      <c r="BP48" s="21">
        <v>1412</v>
      </c>
      <c r="BQ48" s="21">
        <v>13186</v>
      </c>
      <c r="BR48" s="21">
        <f t="shared" si="5"/>
        <v>522933</v>
      </c>
      <c r="BS48" s="21">
        <f t="shared" si="5"/>
        <v>1441611</v>
      </c>
    </row>
    <row r="49" spans="1:71" x14ac:dyDescent="0.25">
      <c r="A49" s="21" t="s">
        <v>72</v>
      </c>
      <c r="B49" s="21">
        <v>18</v>
      </c>
      <c r="C49" s="21">
        <v>161</v>
      </c>
      <c r="D49" s="21">
        <v>2795</v>
      </c>
      <c r="E49" s="21">
        <v>3606</v>
      </c>
      <c r="F49" s="21"/>
      <c r="G49" s="21"/>
      <c r="H49" s="21">
        <v>23492</v>
      </c>
      <c r="I49" s="21">
        <v>19234</v>
      </c>
      <c r="J49" s="124">
        <v>83189</v>
      </c>
      <c r="K49" s="123">
        <v>275523</v>
      </c>
      <c r="L49" s="21">
        <v>3684</v>
      </c>
      <c r="M49" s="21">
        <v>13674</v>
      </c>
      <c r="N49" s="21">
        <v>48871</v>
      </c>
      <c r="O49" s="21">
        <v>71157</v>
      </c>
      <c r="P49" s="21">
        <v>497</v>
      </c>
      <c r="Q49" s="21">
        <v>15923</v>
      </c>
      <c r="R49" s="21">
        <v>-1241</v>
      </c>
      <c r="S49" s="21">
        <v>-27921</v>
      </c>
      <c r="T49" s="21">
        <v>10</v>
      </c>
      <c r="U49" s="21">
        <v>2806</v>
      </c>
      <c r="V49" s="21"/>
      <c r="W49" s="21"/>
      <c r="X49" s="21">
        <v>8570</v>
      </c>
      <c r="Y49" s="21">
        <v>50519</v>
      </c>
      <c r="Z49" s="21">
        <v>2</v>
      </c>
      <c r="AA49" s="21">
        <v>2</v>
      </c>
      <c r="AB49" s="21">
        <v>-74082</v>
      </c>
      <c r="AC49" s="21">
        <v>-297259</v>
      </c>
      <c r="AD49" s="21">
        <v>42719</v>
      </c>
      <c r="AE49" s="21">
        <v>35502</v>
      </c>
      <c r="AF49" s="21">
        <v>21307</v>
      </c>
      <c r="AG49" s="21">
        <v>122797</v>
      </c>
      <c r="AH49" s="21">
        <v>-16047</v>
      </c>
      <c r="AI49" s="21">
        <v>-37970</v>
      </c>
      <c r="AJ49" s="21">
        <v>7465</v>
      </c>
      <c r="AK49" s="21">
        <v>18317</v>
      </c>
      <c r="AL49" s="21">
        <v>-731</v>
      </c>
      <c r="AM49" s="21">
        <v>4662</v>
      </c>
      <c r="AN49" s="44">
        <v>8542</v>
      </c>
      <c r="AO49" s="44">
        <v>31917</v>
      </c>
      <c r="AP49" s="21">
        <v>-2239.817999999992</v>
      </c>
      <c r="AQ49" s="21">
        <v>63716.968000000001</v>
      </c>
      <c r="AR49" s="21">
        <v>70524</v>
      </c>
      <c r="AS49" s="21">
        <v>268275</v>
      </c>
      <c r="AT49" s="21">
        <v>18869</v>
      </c>
      <c r="AU49" s="21">
        <v>78779</v>
      </c>
      <c r="AV49" s="21">
        <v>-33</v>
      </c>
      <c r="AW49" s="21">
        <v>-261</v>
      </c>
      <c r="AX49" s="21">
        <v>4450</v>
      </c>
      <c r="AY49" s="21">
        <v>33919</v>
      </c>
      <c r="AZ49" s="21"/>
      <c r="BA49" s="21"/>
      <c r="BB49" s="21">
        <v>18997</v>
      </c>
      <c r="BC49" s="21">
        <v>63844</v>
      </c>
      <c r="BD49" s="21">
        <v>15014</v>
      </c>
      <c r="BE49" s="21">
        <v>48777</v>
      </c>
      <c r="BF49" s="21">
        <v>226755</v>
      </c>
      <c r="BG49" s="21">
        <v>597436</v>
      </c>
      <c r="BH49" s="21">
        <v>-8132</v>
      </c>
      <c r="BI49" s="21">
        <v>-35586</v>
      </c>
      <c r="BJ49" s="21"/>
      <c r="BK49" s="21"/>
      <c r="BL49" s="21">
        <v>-292455</v>
      </c>
      <c r="BM49" s="21">
        <v>-992331</v>
      </c>
      <c r="BN49" s="143">
        <v>-76357</v>
      </c>
      <c r="BO49" s="143">
        <v>-6602</v>
      </c>
      <c r="BP49" s="21">
        <v>1521</v>
      </c>
      <c r="BQ49" s="21">
        <v>12450</v>
      </c>
      <c r="BR49" s="21">
        <f t="shared" si="5"/>
        <v>135973.18200000003</v>
      </c>
      <c r="BS49" s="21">
        <f t="shared" si="5"/>
        <v>435066.96799999988</v>
      </c>
    </row>
    <row r="51" spans="1:71" x14ac:dyDescent="0.25">
      <c r="A51" s="13" t="s">
        <v>205</v>
      </c>
    </row>
    <row r="52" spans="1:71" s="15" customFormat="1" x14ac:dyDescent="0.25">
      <c r="A52" s="23" t="s">
        <v>0</v>
      </c>
      <c r="B52" s="200" t="s">
        <v>1</v>
      </c>
      <c r="C52" s="200"/>
      <c r="D52" s="200" t="s">
        <v>2</v>
      </c>
      <c r="E52" s="200"/>
      <c r="F52" s="200" t="s">
        <v>3</v>
      </c>
      <c r="G52" s="200"/>
      <c r="H52" s="200" t="s">
        <v>4</v>
      </c>
      <c r="I52" s="200"/>
      <c r="J52" s="200" t="s">
        <v>5</v>
      </c>
      <c r="K52" s="200"/>
      <c r="L52" s="200" t="s">
        <v>6</v>
      </c>
      <c r="M52" s="200"/>
      <c r="N52" s="200" t="s">
        <v>7</v>
      </c>
      <c r="O52" s="200"/>
      <c r="P52" s="200" t="s">
        <v>8</v>
      </c>
      <c r="Q52" s="200"/>
      <c r="R52" s="200" t="s">
        <v>9</v>
      </c>
      <c r="S52" s="200"/>
      <c r="T52" s="200" t="s">
        <v>10</v>
      </c>
      <c r="U52" s="200"/>
      <c r="V52" s="200" t="s">
        <v>11</v>
      </c>
      <c r="W52" s="200"/>
      <c r="X52" s="200" t="s">
        <v>12</v>
      </c>
      <c r="Y52" s="200"/>
      <c r="Z52" s="200" t="s">
        <v>13</v>
      </c>
      <c r="AA52" s="200"/>
      <c r="AB52" s="200" t="s">
        <v>14</v>
      </c>
      <c r="AC52" s="200"/>
      <c r="AD52" s="200" t="s">
        <v>15</v>
      </c>
      <c r="AE52" s="200"/>
      <c r="AF52" s="200" t="s">
        <v>16</v>
      </c>
      <c r="AG52" s="200"/>
      <c r="AH52" s="200" t="s">
        <v>17</v>
      </c>
      <c r="AI52" s="200"/>
      <c r="AJ52" s="200" t="s">
        <v>18</v>
      </c>
      <c r="AK52" s="200"/>
      <c r="AL52" s="200" t="s">
        <v>19</v>
      </c>
      <c r="AM52" s="200"/>
      <c r="AN52" s="200" t="s">
        <v>20</v>
      </c>
      <c r="AO52" s="200"/>
      <c r="AP52" s="200" t="s">
        <v>21</v>
      </c>
      <c r="AQ52" s="200"/>
      <c r="AR52" s="200" t="s">
        <v>147</v>
      </c>
      <c r="AS52" s="200"/>
      <c r="AT52" s="200" t="s">
        <v>148</v>
      </c>
      <c r="AU52" s="200"/>
      <c r="AV52" s="200" t="s">
        <v>22</v>
      </c>
      <c r="AW52" s="200"/>
      <c r="AX52" s="200" t="s">
        <v>23</v>
      </c>
      <c r="AY52" s="200"/>
      <c r="AZ52" s="200" t="s">
        <v>332</v>
      </c>
      <c r="BA52" s="200"/>
      <c r="BB52" s="200" t="s">
        <v>24</v>
      </c>
      <c r="BC52" s="200"/>
      <c r="BD52" s="200" t="s">
        <v>25</v>
      </c>
      <c r="BE52" s="200"/>
      <c r="BF52" s="200" t="s">
        <v>26</v>
      </c>
      <c r="BG52" s="200"/>
      <c r="BH52" s="200" t="s">
        <v>27</v>
      </c>
      <c r="BI52" s="200"/>
      <c r="BJ52" s="200" t="s">
        <v>28</v>
      </c>
      <c r="BK52" s="200"/>
      <c r="BL52" s="200" t="s">
        <v>29</v>
      </c>
      <c r="BM52" s="200"/>
      <c r="BN52" s="200" t="s">
        <v>30</v>
      </c>
      <c r="BO52" s="200"/>
      <c r="BP52" s="200" t="s">
        <v>31</v>
      </c>
      <c r="BQ52" s="200"/>
      <c r="BR52" s="200" t="s">
        <v>250</v>
      </c>
      <c r="BS52" s="200"/>
    </row>
    <row r="53" spans="1:71" s="42" customFormat="1" ht="44.25" customHeight="1" x14ac:dyDescent="0.25">
      <c r="A53" s="43"/>
      <c r="B53" s="43" t="s">
        <v>321</v>
      </c>
      <c r="C53" s="43" t="s">
        <v>322</v>
      </c>
      <c r="D53" s="43" t="s">
        <v>321</v>
      </c>
      <c r="E53" s="43" t="s">
        <v>322</v>
      </c>
      <c r="F53" s="43" t="s">
        <v>321</v>
      </c>
      <c r="G53" s="43" t="s">
        <v>322</v>
      </c>
      <c r="H53" s="43" t="s">
        <v>321</v>
      </c>
      <c r="I53" s="43" t="s">
        <v>322</v>
      </c>
      <c r="J53" s="43" t="s">
        <v>321</v>
      </c>
      <c r="K53" s="43" t="s">
        <v>322</v>
      </c>
      <c r="L53" s="43" t="s">
        <v>321</v>
      </c>
      <c r="M53" s="43" t="s">
        <v>322</v>
      </c>
      <c r="N53" s="43" t="s">
        <v>321</v>
      </c>
      <c r="O53" s="43" t="s">
        <v>322</v>
      </c>
      <c r="P53" s="43" t="s">
        <v>321</v>
      </c>
      <c r="Q53" s="43" t="s">
        <v>322</v>
      </c>
      <c r="R53" s="43" t="s">
        <v>321</v>
      </c>
      <c r="S53" s="43" t="s">
        <v>322</v>
      </c>
      <c r="T53" s="43" t="s">
        <v>321</v>
      </c>
      <c r="U53" s="43" t="s">
        <v>322</v>
      </c>
      <c r="V53" s="43" t="s">
        <v>321</v>
      </c>
      <c r="W53" s="43" t="s">
        <v>322</v>
      </c>
      <c r="X53" s="43" t="s">
        <v>321</v>
      </c>
      <c r="Y53" s="43" t="s">
        <v>322</v>
      </c>
      <c r="Z53" s="43" t="s">
        <v>321</v>
      </c>
      <c r="AA53" s="43" t="s">
        <v>322</v>
      </c>
      <c r="AB53" s="43" t="s">
        <v>321</v>
      </c>
      <c r="AC53" s="43" t="s">
        <v>322</v>
      </c>
      <c r="AD53" s="43" t="s">
        <v>321</v>
      </c>
      <c r="AE53" s="43" t="s">
        <v>322</v>
      </c>
      <c r="AF53" s="43" t="s">
        <v>321</v>
      </c>
      <c r="AG53" s="43" t="s">
        <v>322</v>
      </c>
      <c r="AH53" s="43" t="s">
        <v>321</v>
      </c>
      <c r="AI53" s="43" t="s">
        <v>322</v>
      </c>
      <c r="AJ53" s="43" t="s">
        <v>321</v>
      </c>
      <c r="AK53" s="43" t="s">
        <v>322</v>
      </c>
      <c r="AL53" s="43" t="s">
        <v>321</v>
      </c>
      <c r="AM53" s="43" t="s">
        <v>322</v>
      </c>
      <c r="AN53" s="43" t="s">
        <v>321</v>
      </c>
      <c r="AO53" s="43" t="s">
        <v>322</v>
      </c>
      <c r="AP53" s="43" t="s">
        <v>321</v>
      </c>
      <c r="AQ53" s="43" t="s">
        <v>322</v>
      </c>
      <c r="AR53" s="43" t="s">
        <v>321</v>
      </c>
      <c r="AS53" s="43" t="s">
        <v>322</v>
      </c>
      <c r="AT53" s="43" t="s">
        <v>321</v>
      </c>
      <c r="AU53" s="43" t="s">
        <v>322</v>
      </c>
      <c r="AV53" s="43" t="s">
        <v>321</v>
      </c>
      <c r="AW53" s="43" t="s">
        <v>322</v>
      </c>
      <c r="AX53" s="43" t="s">
        <v>321</v>
      </c>
      <c r="AY53" s="43" t="s">
        <v>322</v>
      </c>
      <c r="AZ53" s="43" t="s">
        <v>321</v>
      </c>
      <c r="BA53" s="43" t="s">
        <v>322</v>
      </c>
      <c r="BB53" s="43" t="s">
        <v>321</v>
      </c>
      <c r="BC53" s="43" t="s">
        <v>322</v>
      </c>
      <c r="BD53" s="43" t="s">
        <v>321</v>
      </c>
      <c r="BE53" s="43" t="s">
        <v>322</v>
      </c>
      <c r="BF53" s="43" t="s">
        <v>321</v>
      </c>
      <c r="BG53" s="43" t="s">
        <v>322</v>
      </c>
      <c r="BH53" s="43" t="s">
        <v>321</v>
      </c>
      <c r="BI53" s="43" t="s">
        <v>322</v>
      </c>
      <c r="BJ53" s="43" t="s">
        <v>321</v>
      </c>
      <c r="BK53" s="43" t="s">
        <v>322</v>
      </c>
      <c r="BL53" s="43" t="s">
        <v>321</v>
      </c>
      <c r="BM53" s="43" t="s">
        <v>322</v>
      </c>
      <c r="BN53" s="43" t="s">
        <v>321</v>
      </c>
      <c r="BO53" s="43" t="s">
        <v>322</v>
      </c>
      <c r="BP53" s="43" t="s">
        <v>321</v>
      </c>
      <c r="BQ53" s="43" t="s">
        <v>322</v>
      </c>
      <c r="BR53" s="43" t="s">
        <v>321</v>
      </c>
      <c r="BS53" s="43" t="s">
        <v>322</v>
      </c>
    </row>
    <row r="54" spans="1:71" x14ac:dyDescent="0.25">
      <c r="A54" s="21" t="s">
        <v>69</v>
      </c>
      <c r="B54" s="21"/>
      <c r="C54" s="21"/>
      <c r="D54" s="21"/>
      <c r="E54" s="21"/>
      <c r="F54" s="21"/>
      <c r="G54" s="21"/>
      <c r="H54" s="21"/>
      <c r="I54" s="21"/>
      <c r="J54" s="124">
        <v>9703</v>
      </c>
      <c r="K54" s="124">
        <v>32915</v>
      </c>
      <c r="L54" s="21">
        <v>17257</v>
      </c>
      <c r="M54" s="21">
        <v>33618</v>
      </c>
      <c r="N54" s="21">
        <v>1417</v>
      </c>
      <c r="O54" s="21">
        <v>6576</v>
      </c>
      <c r="P54" s="21"/>
      <c r="Q54" s="21"/>
      <c r="R54" s="21"/>
      <c r="S54" s="21"/>
      <c r="T54" s="21"/>
      <c r="U54" s="21"/>
      <c r="V54" s="21"/>
      <c r="W54" s="21"/>
      <c r="X54" s="21">
        <v>7302</v>
      </c>
      <c r="Y54" s="21">
        <v>22778</v>
      </c>
      <c r="Z54" s="21"/>
      <c r="AA54" s="21"/>
      <c r="AB54" s="21">
        <f>79+16901</f>
        <v>16980</v>
      </c>
      <c r="AC54" s="21">
        <f>1308+98154</f>
        <v>99462</v>
      </c>
      <c r="AD54" s="21">
        <v>3146</v>
      </c>
      <c r="AE54" s="21">
        <v>16653</v>
      </c>
      <c r="AF54" s="21">
        <v>18643</v>
      </c>
      <c r="AG54" s="21">
        <v>61265</v>
      </c>
      <c r="AH54" s="21"/>
      <c r="AI54" s="21"/>
      <c r="AJ54" s="21">
        <v>1675</v>
      </c>
      <c r="AK54" s="21">
        <v>5969</v>
      </c>
      <c r="AL54" s="21">
        <v>203</v>
      </c>
      <c r="AM54" s="21">
        <v>102</v>
      </c>
      <c r="AN54" s="21"/>
      <c r="AO54" s="21"/>
      <c r="AP54" s="21">
        <v>17316.966</v>
      </c>
      <c r="AQ54" s="21">
        <v>52759.455000000002</v>
      </c>
      <c r="AR54" s="21">
        <v>438652</v>
      </c>
      <c r="AS54" s="21">
        <v>808811</v>
      </c>
      <c r="AT54" s="21">
        <v>23738</v>
      </c>
      <c r="AU54" s="21">
        <v>78262</v>
      </c>
      <c r="AV54" s="21">
        <v>13948</v>
      </c>
      <c r="AW54" s="21">
        <v>51288</v>
      </c>
      <c r="AX54" s="167">
        <f>2793+3169</f>
        <v>5962</v>
      </c>
      <c r="AY54" s="101">
        <f>20357+16388</f>
        <v>36745</v>
      </c>
      <c r="AZ54" s="101"/>
      <c r="BA54" s="101"/>
      <c r="BB54" s="21"/>
      <c r="BC54" s="21"/>
      <c r="BD54" s="21">
        <v>2040</v>
      </c>
      <c r="BE54" s="21">
        <v>5598</v>
      </c>
      <c r="BF54" s="21">
        <v>4927</v>
      </c>
      <c r="BG54" s="21">
        <v>14477</v>
      </c>
      <c r="BH54" s="21">
        <v>160</v>
      </c>
      <c r="BI54" s="21">
        <v>503</v>
      </c>
      <c r="BJ54" s="21"/>
      <c r="BK54" s="21"/>
      <c r="BL54" s="21">
        <v>77223</v>
      </c>
      <c r="BM54" s="21">
        <v>367761</v>
      </c>
      <c r="BN54" s="143">
        <v>42084</v>
      </c>
      <c r="BO54" s="143">
        <v>107661</v>
      </c>
      <c r="BP54" s="21">
        <v>97</v>
      </c>
      <c r="BQ54" s="21">
        <v>648</v>
      </c>
      <c r="BR54" s="21">
        <f t="shared" ref="BR54:BS57" si="6">B54+D54+F54+H54+J54+L54+N54+P54+R54+T54+V54+X54+Z54+AB54+AD54+AF54+AH54+AJ54+AL54+AN54+AP54+AR54+AT54+AV54+AX54+BB54+BD54+BF54+BH54+BJ54+BL54+BN54+BP54</f>
        <v>702473.96600000001</v>
      </c>
      <c r="BS54" s="21">
        <f t="shared" si="6"/>
        <v>1803851.4550000001</v>
      </c>
    </row>
    <row r="55" spans="1:71" x14ac:dyDescent="0.25">
      <c r="A55" s="21" t="s">
        <v>70</v>
      </c>
      <c r="B55" s="21"/>
      <c r="C55" s="21"/>
      <c r="D55" s="21"/>
      <c r="E55" s="21"/>
      <c r="F55" s="21"/>
      <c r="G55" s="21"/>
      <c r="H55" s="21"/>
      <c r="I55" s="21"/>
      <c r="J55" s="123"/>
      <c r="K55" s="123"/>
      <c r="L55" s="21">
        <v>139</v>
      </c>
      <c r="M55" s="21">
        <v>1216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>
        <v>1504</v>
      </c>
      <c r="Z55" s="21"/>
      <c r="AA55" s="21"/>
      <c r="AB55" s="21">
        <v>252</v>
      </c>
      <c r="AC55" s="21">
        <f>35+7544</f>
        <v>7579</v>
      </c>
      <c r="AD55" s="21">
        <v>-141</v>
      </c>
      <c r="AE55" s="21">
        <v>1864</v>
      </c>
      <c r="AF55" s="21">
        <v>3575</v>
      </c>
      <c r="AG55" s="21">
        <v>6502</v>
      </c>
      <c r="AH55" s="21"/>
      <c r="AI55" s="21"/>
      <c r="AJ55" s="21"/>
      <c r="AK55" s="21"/>
      <c r="AL55" s="21"/>
      <c r="AM55" s="21">
        <v>64</v>
      </c>
      <c r="AN55" s="21"/>
      <c r="AO55" s="21"/>
      <c r="AP55" s="21">
        <v>0</v>
      </c>
      <c r="AQ55" s="21">
        <v>0</v>
      </c>
      <c r="AR55" s="21">
        <v>199</v>
      </c>
      <c r="AS55" s="21">
        <v>499</v>
      </c>
      <c r="AT55" s="21">
        <v>52</v>
      </c>
      <c r="AU55" s="21">
        <v>305</v>
      </c>
      <c r="AV55" s="21">
        <v>7741</v>
      </c>
      <c r="AW55" s="21">
        <v>26727</v>
      </c>
      <c r="AX55" s="167"/>
      <c r="AY55" s="101">
        <v>489</v>
      </c>
      <c r="AZ55" s="101"/>
      <c r="BA55" s="101"/>
      <c r="BB55" s="21"/>
      <c r="BC55" s="21"/>
      <c r="BD55" s="21"/>
      <c r="BE55" s="21"/>
      <c r="BF55" s="21">
        <v>5</v>
      </c>
      <c r="BG55" s="21">
        <v>554</v>
      </c>
      <c r="BH55" s="21"/>
      <c r="BI55" s="21"/>
      <c r="BJ55" s="21"/>
      <c r="BK55" s="21"/>
      <c r="BL55" s="21">
        <v>4461</v>
      </c>
      <c r="BM55" s="21">
        <v>48378</v>
      </c>
      <c r="BN55" s="143">
        <v>195</v>
      </c>
      <c r="BO55" s="143">
        <v>704</v>
      </c>
      <c r="BP55" s="21"/>
      <c r="BQ55" s="21"/>
      <c r="BR55" s="21">
        <f t="shared" si="6"/>
        <v>16478</v>
      </c>
      <c r="BS55" s="21">
        <f t="shared" si="6"/>
        <v>96385</v>
      </c>
    </row>
    <row r="56" spans="1:71" x14ac:dyDescent="0.25">
      <c r="A56" s="21" t="s">
        <v>71</v>
      </c>
      <c r="B56" s="21">
        <v>3573</v>
      </c>
      <c r="C56" s="21">
        <v>18232</v>
      </c>
      <c r="D56" s="21"/>
      <c r="E56" s="21"/>
      <c r="F56" s="21"/>
      <c r="G56" s="21"/>
      <c r="H56" s="21"/>
      <c r="I56" s="21"/>
      <c r="J56" s="124">
        <v>9437</v>
      </c>
      <c r="K56" s="124">
        <v>23912</v>
      </c>
      <c r="L56" s="21">
        <v>10195</v>
      </c>
      <c r="M56" s="21">
        <v>19820</v>
      </c>
      <c r="N56" s="21">
        <v>3547</v>
      </c>
      <c r="O56" s="21">
        <v>6888</v>
      </c>
      <c r="P56" s="21"/>
      <c r="Q56" s="21"/>
      <c r="R56" s="21"/>
      <c r="S56" s="21"/>
      <c r="T56" s="21"/>
      <c r="U56" s="21"/>
      <c r="V56" s="21"/>
      <c r="W56" s="21"/>
      <c r="X56" s="21">
        <v>4114</v>
      </c>
      <c r="Y56" s="21">
        <v>21213</v>
      </c>
      <c r="Z56" s="21"/>
      <c r="AA56" s="21"/>
      <c r="AB56" s="21">
        <f>19-12956</f>
        <v>-12937</v>
      </c>
      <c r="AC56" s="21">
        <f>-458-53057</f>
        <v>-53515</v>
      </c>
      <c r="AD56" s="21">
        <v>4014</v>
      </c>
      <c r="AE56" s="21">
        <v>12957</v>
      </c>
      <c r="AF56" s="21">
        <v>5547</v>
      </c>
      <c r="AG56" s="21">
        <v>16566</v>
      </c>
      <c r="AH56" s="21"/>
      <c r="AI56" s="21"/>
      <c r="AJ56" s="21">
        <v>462</v>
      </c>
      <c r="AK56" s="21">
        <v>8992</v>
      </c>
      <c r="AL56" s="21">
        <v>-18</v>
      </c>
      <c r="AM56" s="21">
        <v>-156</v>
      </c>
      <c r="AN56" s="21"/>
      <c r="AO56" s="21"/>
      <c r="AP56" s="21">
        <v>2.7359999999999998</v>
      </c>
      <c r="AQ56" s="21">
        <v>2.8069999999999999</v>
      </c>
      <c r="AR56" s="21">
        <v>111182</v>
      </c>
      <c r="AS56" s="21">
        <v>203895</v>
      </c>
      <c r="AT56" s="21">
        <v>14641</v>
      </c>
      <c r="AU56" s="21">
        <v>20029</v>
      </c>
      <c r="AV56" s="21">
        <v>4756</v>
      </c>
      <c r="AW56" s="21">
        <v>9032</v>
      </c>
      <c r="AX56" s="167">
        <f>2965+253</f>
        <v>3218</v>
      </c>
      <c r="AY56" s="101">
        <f>8609+998</f>
        <v>9607</v>
      </c>
      <c r="AZ56" s="101"/>
      <c r="BA56" s="101"/>
      <c r="BB56" s="21"/>
      <c r="BC56" s="21"/>
      <c r="BD56" s="21">
        <v>-425</v>
      </c>
      <c r="BE56" s="21">
        <v>-8294</v>
      </c>
      <c r="BF56" s="21">
        <v>6100</v>
      </c>
      <c r="BG56" s="21">
        <v>25827</v>
      </c>
      <c r="BH56" s="21">
        <v>7</v>
      </c>
      <c r="BI56" s="21">
        <v>41</v>
      </c>
      <c r="BJ56" s="21"/>
      <c r="BK56" s="21"/>
      <c r="BL56" s="21">
        <v>56735</v>
      </c>
      <c r="BM56" s="21">
        <v>252944</v>
      </c>
      <c r="BN56" s="143">
        <v>2000</v>
      </c>
      <c r="BO56" s="143">
        <v>8261</v>
      </c>
      <c r="BP56" s="21">
        <v>38</v>
      </c>
      <c r="BQ56" s="21">
        <v>232</v>
      </c>
      <c r="BR56" s="21">
        <f t="shared" si="6"/>
        <v>226188.736</v>
      </c>
      <c r="BS56" s="21">
        <f t="shared" si="6"/>
        <v>596485.80700000003</v>
      </c>
    </row>
    <row r="57" spans="1:71" x14ac:dyDescent="0.25">
      <c r="A57" s="21" t="s">
        <v>72</v>
      </c>
      <c r="B57" s="21">
        <v>-3573</v>
      </c>
      <c r="C57" s="21">
        <v>-18232</v>
      </c>
      <c r="D57" s="21"/>
      <c r="E57" s="21"/>
      <c r="F57" s="21"/>
      <c r="G57" s="21"/>
      <c r="H57" s="21"/>
      <c r="I57" s="21"/>
      <c r="J57" s="124">
        <v>266</v>
      </c>
      <c r="K57" s="124">
        <v>9003</v>
      </c>
      <c r="L57" s="21">
        <v>7201</v>
      </c>
      <c r="M57" s="21">
        <v>15014</v>
      </c>
      <c r="N57" s="21">
        <v>-2130</v>
      </c>
      <c r="O57" s="21">
        <v>-312</v>
      </c>
      <c r="P57" s="21"/>
      <c r="Q57" s="21"/>
      <c r="R57" s="21"/>
      <c r="S57" s="21"/>
      <c r="T57" s="21"/>
      <c r="U57" s="21"/>
      <c r="V57" s="21"/>
      <c r="W57" s="21"/>
      <c r="X57" s="21">
        <v>3188</v>
      </c>
      <c r="Y57" s="21">
        <v>3069</v>
      </c>
      <c r="Z57" s="21"/>
      <c r="AA57" s="21"/>
      <c r="AB57" s="21">
        <f>98+4197</f>
        <v>4295</v>
      </c>
      <c r="AC57" s="21">
        <f>886+52641</f>
        <v>53527</v>
      </c>
      <c r="AD57" s="21">
        <v>-1009</v>
      </c>
      <c r="AE57" s="21">
        <v>5560</v>
      </c>
      <c r="AF57" s="21">
        <v>16671</v>
      </c>
      <c r="AG57" s="21">
        <v>51201</v>
      </c>
      <c r="AH57" s="21"/>
      <c r="AI57" s="21"/>
      <c r="AJ57" s="21">
        <v>1212</v>
      </c>
      <c r="AK57" s="21">
        <v>-3023</v>
      </c>
      <c r="AL57" s="21">
        <v>185</v>
      </c>
      <c r="AM57" s="21">
        <v>10</v>
      </c>
      <c r="AN57" s="21"/>
      <c r="AO57" s="21"/>
      <c r="AP57" s="21">
        <v>17314.23</v>
      </c>
      <c r="AQ57" s="21">
        <v>52756.648000000001</v>
      </c>
      <c r="AR57" s="21">
        <v>327669</v>
      </c>
      <c r="AS57" s="21">
        <v>605415</v>
      </c>
      <c r="AT57" s="21">
        <v>9149</v>
      </c>
      <c r="AU57" s="21">
        <v>58538</v>
      </c>
      <c r="AV57" s="21">
        <v>16934</v>
      </c>
      <c r="AW57" s="21">
        <v>68981</v>
      </c>
      <c r="AX57" s="167">
        <f>-172+2916</f>
        <v>2744</v>
      </c>
      <c r="AY57" s="101">
        <f>12237+15390</f>
        <v>27627</v>
      </c>
      <c r="AZ57" s="101"/>
      <c r="BA57" s="101"/>
      <c r="BB57" s="21"/>
      <c r="BC57" s="21"/>
      <c r="BD57" s="21">
        <v>1615</v>
      </c>
      <c r="BE57" s="21">
        <v>-2696</v>
      </c>
      <c r="BF57" s="21">
        <v>-1168</v>
      </c>
      <c r="BG57" s="21">
        <v>-10796</v>
      </c>
      <c r="BH57" s="21">
        <v>153</v>
      </c>
      <c r="BI57" s="21">
        <v>462</v>
      </c>
      <c r="BJ57" s="21"/>
      <c r="BK57" s="21"/>
      <c r="BL57" s="21">
        <v>24949</v>
      </c>
      <c r="BM57" s="21">
        <v>163195</v>
      </c>
      <c r="BN57" s="143">
        <v>40279</v>
      </c>
      <c r="BO57" s="143">
        <v>100104</v>
      </c>
      <c r="BP57" s="21">
        <v>59</v>
      </c>
      <c r="BQ57" s="21">
        <v>416</v>
      </c>
      <c r="BR57" s="21">
        <f t="shared" si="6"/>
        <v>466003.23</v>
      </c>
      <c r="BS57" s="21">
        <f t="shared" si="6"/>
        <v>1179819.648</v>
      </c>
    </row>
    <row r="58" spans="1:7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2"/>
      <c r="K58" s="12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02"/>
      <c r="AY58" s="102"/>
      <c r="AZ58" s="102"/>
      <c r="BA58" s="102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</row>
    <row r="59" spans="1:71" x14ac:dyDescent="0.25">
      <c r="A59" s="68" t="s">
        <v>252</v>
      </c>
      <c r="B59" s="11"/>
      <c r="C59" s="11"/>
      <c r="D59" s="11"/>
      <c r="E59" s="11"/>
      <c r="F59" s="11"/>
      <c r="G59" s="11"/>
      <c r="H59" s="11"/>
      <c r="I59" s="11"/>
      <c r="J59" s="12"/>
      <c r="K59" s="12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02"/>
      <c r="AY59" s="102"/>
      <c r="AZ59" s="102"/>
      <c r="BA59" s="102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</row>
    <row r="60" spans="1:71" s="15" customFormat="1" x14ac:dyDescent="0.25">
      <c r="A60" s="23" t="s">
        <v>0</v>
      </c>
      <c r="B60" s="200" t="s">
        <v>1</v>
      </c>
      <c r="C60" s="200"/>
      <c r="D60" s="200" t="s">
        <v>2</v>
      </c>
      <c r="E60" s="200"/>
      <c r="F60" s="200" t="s">
        <v>3</v>
      </c>
      <c r="G60" s="200"/>
      <c r="H60" s="200" t="s">
        <v>4</v>
      </c>
      <c r="I60" s="200"/>
      <c r="J60" s="200" t="s">
        <v>5</v>
      </c>
      <c r="K60" s="200"/>
      <c r="L60" s="200" t="s">
        <v>6</v>
      </c>
      <c r="M60" s="200"/>
      <c r="N60" s="200" t="s">
        <v>7</v>
      </c>
      <c r="O60" s="200"/>
      <c r="P60" s="200" t="s">
        <v>8</v>
      </c>
      <c r="Q60" s="200"/>
      <c r="R60" s="200" t="s">
        <v>9</v>
      </c>
      <c r="S60" s="200"/>
      <c r="T60" s="200" t="s">
        <v>10</v>
      </c>
      <c r="U60" s="200"/>
      <c r="V60" s="200" t="s">
        <v>11</v>
      </c>
      <c r="W60" s="200"/>
      <c r="X60" s="200" t="s">
        <v>12</v>
      </c>
      <c r="Y60" s="200"/>
      <c r="Z60" s="200" t="s">
        <v>13</v>
      </c>
      <c r="AA60" s="200"/>
      <c r="AB60" s="200" t="s">
        <v>14</v>
      </c>
      <c r="AC60" s="200"/>
      <c r="AD60" s="200" t="s">
        <v>15</v>
      </c>
      <c r="AE60" s="200"/>
      <c r="AF60" s="200" t="s">
        <v>16</v>
      </c>
      <c r="AG60" s="200"/>
      <c r="AH60" s="200" t="s">
        <v>17</v>
      </c>
      <c r="AI60" s="200"/>
      <c r="AJ60" s="200" t="s">
        <v>18</v>
      </c>
      <c r="AK60" s="200"/>
      <c r="AL60" s="200" t="s">
        <v>19</v>
      </c>
      <c r="AM60" s="200"/>
      <c r="AN60" s="200" t="s">
        <v>20</v>
      </c>
      <c r="AO60" s="200"/>
      <c r="AP60" s="200" t="s">
        <v>21</v>
      </c>
      <c r="AQ60" s="200"/>
      <c r="AR60" s="200" t="s">
        <v>147</v>
      </c>
      <c r="AS60" s="200"/>
      <c r="AT60" s="200" t="s">
        <v>148</v>
      </c>
      <c r="AU60" s="200"/>
      <c r="AV60" s="200" t="s">
        <v>22</v>
      </c>
      <c r="AW60" s="200"/>
      <c r="AX60" s="200" t="s">
        <v>23</v>
      </c>
      <c r="AY60" s="200"/>
      <c r="AZ60" s="200" t="s">
        <v>332</v>
      </c>
      <c r="BA60" s="200"/>
      <c r="BB60" s="200" t="s">
        <v>24</v>
      </c>
      <c r="BC60" s="200"/>
      <c r="BD60" s="200" t="s">
        <v>25</v>
      </c>
      <c r="BE60" s="200"/>
      <c r="BF60" s="200" t="s">
        <v>26</v>
      </c>
      <c r="BG60" s="200"/>
      <c r="BH60" s="200" t="s">
        <v>27</v>
      </c>
      <c r="BI60" s="200"/>
      <c r="BJ60" s="200" t="s">
        <v>28</v>
      </c>
      <c r="BK60" s="200"/>
      <c r="BL60" s="200" t="s">
        <v>29</v>
      </c>
      <c r="BM60" s="200"/>
      <c r="BN60" s="200" t="s">
        <v>30</v>
      </c>
      <c r="BO60" s="200"/>
      <c r="BP60" s="200" t="s">
        <v>31</v>
      </c>
      <c r="BQ60" s="200"/>
      <c r="BR60" s="200" t="s">
        <v>250</v>
      </c>
      <c r="BS60" s="200"/>
    </row>
    <row r="61" spans="1:71" s="42" customFormat="1" ht="44.25" customHeight="1" x14ac:dyDescent="0.25">
      <c r="A61" s="43"/>
      <c r="B61" s="43" t="s">
        <v>321</v>
      </c>
      <c r="C61" s="43" t="s">
        <v>322</v>
      </c>
      <c r="D61" s="43" t="s">
        <v>321</v>
      </c>
      <c r="E61" s="43" t="s">
        <v>322</v>
      </c>
      <c r="F61" s="43" t="s">
        <v>321</v>
      </c>
      <c r="G61" s="43" t="s">
        <v>322</v>
      </c>
      <c r="H61" s="43" t="s">
        <v>321</v>
      </c>
      <c r="I61" s="43" t="s">
        <v>322</v>
      </c>
      <c r="J61" s="43" t="s">
        <v>321</v>
      </c>
      <c r="K61" s="43" t="s">
        <v>322</v>
      </c>
      <c r="L61" s="43" t="s">
        <v>321</v>
      </c>
      <c r="M61" s="43" t="s">
        <v>322</v>
      </c>
      <c r="N61" s="43" t="s">
        <v>321</v>
      </c>
      <c r="O61" s="43" t="s">
        <v>322</v>
      </c>
      <c r="P61" s="43" t="s">
        <v>321</v>
      </c>
      <c r="Q61" s="43" t="s">
        <v>322</v>
      </c>
      <c r="R61" s="43" t="s">
        <v>321</v>
      </c>
      <c r="S61" s="43" t="s">
        <v>322</v>
      </c>
      <c r="T61" s="43" t="s">
        <v>321</v>
      </c>
      <c r="U61" s="43" t="s">
        <v>322</v>
      </c>
      <c r="V61" s="43" t="s">
        <v>321</v>
      </c>
      <c r="W61" s="43" t="s">
        <v>322</v>
      </c>
      <c r="X61" s="43" t="s">
        <v>321</v>
      </c>
      <c r="Y61" s="43" t="s">
        <v>322</v>
      </c>
      <c r="Z61" s="43" t="s">
        <v>321</v>
      </c>
      <c r="AA61" s="43" t="s">
        <v>322</v>
      </c>
      <c r="AB61" s="43" t="s">
        <v>321</v>
      </c>
      <c r="AC61" s="43" t="s">
        <v>322</v>
      </c>
      <c r="AD61" s="43" t="s">
        <v>321</v>
      </c>
      <c r="AE61" s="43" t="s">
        <v>322</v>
      </c>
      <c r="AF61" s="43" t="s">
        <v>321</v>
      </c>
      <c r="AG61" s="43" t="s">
        <v>322</v>
      </c>
      <c r="AH61" s="43" t="s">
        <v>321</v>
      </c>
      <c r="AI61" s="43" t="s">
        <v>322</v>
      </c>
      <c r="AJ61" s="43" t="s">
        <v>321</v>
      </c>
      <c r="AK61" s="43" t="s">
        <v>322</v>
      </c>
      <c r="AL61" s="43" t="s">
        <v>321</v>
      </c>
      <c r="AM61" s="43" t="s">
        <v>322</v>
      </c>
      <c r="AN61" s="43" t="s">
        <v>321</v>
      </c>
      <c r="AO61" s="43" t="s">
        <v>322</v>
      </c>
      <c r="AP61" s="43" t="s">
        <v>321</v>
      </c>
      <c r="AQ61" s="43" t="s">
        <v>322</v>
      </c>
      <c r="AR61" s="43" t="s">
        <v>321</v>
      </c>
      <c r="AS61" s="43" t="s">
        <v>322</v>
      </c>
      <c r="AT61" s="43" t="s">
        <v>321</v>
      </c>
      <c r="AU61" s="43" t="s">
        <v>322</v>
      </c>
      <c r="AV61" s="43" t="s">
        <v>321</v>
      </c>
      <c r="AW61" s="43" t="s">
        <v>322</v>
      </c>
      <c r="AX61" s="43" t="s">
        <v>321</v>
      </c>
      <c r="AY61" s="43" t="s">
        <v>322</v>
      </c>
      <c r="AZ61" s="43" t="s">
        <v>321</v>
      </c>
      <c r="BA61" s="43" t="s">
        <v>322</v>
      </c>
      <c r="BB61" s="43" t="s">
        <v>321</v>
      </c>
      <c r="BC61" s="43" t="s">
        <v>322</v>
      </c>
      <c r="BD61" s="43" t="s">
        <v>321</v>
      </c>
      <c r="BE61" s="43" t="s">
        <v>322</v>
      </c>
      <c r="BF61" s="43" t="s">
        <v>321</v>
      </c>
      <c r="BG61" s="43" t="s">
        <v>322</v>
      </c>
      <c r="BH61" s="43" t="s">
        <v>321</v>
      </c>
      <c r="BI61" s="43" t="s">
        <v>322</v>
      </c>
      <c r="BJ61" s="43" t="s">
        <v>321</v>
      </c>
      <c r="BK61" s="43" t="s">
        <v>322</v>
      </c>
      <c r="BL61" s="43" t="s">
        <v>321</v>
      </c>
      <c r="BM61" s="43" t="s">
        <v>322</v>
      </c>
      <c r="BN61" s="43" t="s">
        <v>321</v>
      </c>
      <c r="BO61" s="43" t="s">
        <v>322</v>
      </c>
      <c r="BP61" s="43" t="s">
        <v>321</v>
      </c>
      <c r="BQ61" s="43" t="s">
        <v>322</v>
      </c>
      <c r="BR61" s="43" t="s">
        <v>321</v>
      </c>
      <c r="BS61" s="43" t="s">
        <v>322</v>
      </c>
    </row>
    <row r="62" spans="1:71" x14ac:dyDescent="0.25">
      <c r="A62" s="21" t="s">
        <v>69</v>
      </c>
      <c r="B62" s="21"/>
      <c r="C62" s="21"/>
      <c r="D62" s="21"/>
      <c r="E62" s="21"/>
      <c r="F62" s="21"/>
      <c r="G62" s="21"/>
      <c r="H62" s="21"/>
      <c r="I62" s="21"/>
      <c r="J62" s="124">
        <v>9485</v>
      </c>
      <c r="K62" s="124">
        <v>13747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>
        <v>1687</v>
      </c>
      <c r="AC62" s="21">
        <v>5548</v>
      </c>
      <c r="AD62" s="21">
        <v>2453</v>
      </c>
      <c r="AE62" s="21">
        <v>9387</v>
      </c>
      <c r="AF62" s="21">
        <v>434</v>
      </c>
      <c r="AG62" s="21">
        <v>441</v>
      </c>
      <c r="AH62" s="21"/>
      <c r="AI62" s="21"/>
      <c r="AJ62" s="21"/>
      <c r="AK62" s="21"/>
      <c r="AL62" s="21"/>
      <c r="AM62" s="21"/>
      <c r="AN62" s="21"/>
      <c r="AO62" s="21"/>
      <c r="AP62" s="21">
        <v>521.08299999999986</v>
      </c>
      <c r="AQ62" s="21">
        <v>1968.2809999999999</v>
      </c>
      <c r="AR62" s="21">
        <v>2662</v>
      </c>
      <c r="AS62" s="21">
        <v>10971</v>
      </c>
      <c r="AT62" s="21">
        <v>1631</v>
      </c>
      <c r="AU62" s="21">
        <v>7998</v>
      </c>
      <c r="AV62" s="21"/>
      <c r="AW62" s="21"/>
      <c r="AX62" s="101">
        <v>474</v>
      </c>
      <c r="AY62" s="101">
        <v>2249</v>
      </c>
      <c r="AZ62" s="101"/>
      <c r="BA62" s="10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>
        <v>-3649</v>
      </c>
      <c r="BM62" s="21">
        <v>1222</v>
      </c>
      <c r="BN62" s="143">
        <v>3867</v>
      </c>
      <c r="BO62" s="143">
        <v>8651</v>
      </c>
      <c r="BP62" s="21"/>
      <c r="BQ62" s="21"/>
      <c r="BR62" s="21">
        <f t="shared" ref="BR62:BS65" si="7">B62+D62+F62+H62+J62+L62+N62+P62+R62+T62+V62+X62+Z62+AB62+AD62+AF62+AH62+AJ62+AL62+AN62+AP62+AR62+AT62+AV62+AX62+BB62+BD62+BF62+BH62+BJ62+BL62+BN62+BP62</f>
        <v>19565.082999999999</v>
      </c>
      <c r="BS62" s="21">
        <f t="shared" si="7"/>
        <v>62182.281000000003</v>
      </c>
    </row>
    <row r="63" spans="1:71" x14ac:dyDescent="0.25">
      <c r="A63" s="21" t="s">
        <v>70</v>
      </c>
      <c r="B63" s="21"/>
      <c r="C63" s="21"/>
      <c r="D63" s="21"/>
      <c r="E63" s="21"/>
      <c r="F63" s="21"/>
      <c r="G63" s="21"/>
      <c r="H63" s="21"/>
      <c r="I63" s="21"/>
      <c r="J63" s="123"/>
      <c r="K63" s="123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>
        <v>85</v>
      </c>
      <c r="AD63" s="21">
        <v>-4775</v>
      </c>
      <c r="AE63" s="21">
        <v>8868</v>
      </c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>
        <v>0</v>
      </c>
      <c r="AQ63" s="21">
        <v>507.31700000000001</v>
      </c>
      <c r="AR63" s="21">
        <v>43505</v>
      </c>
      <c r="AS63" s="21">
        <v>186225</v>
      </c>
      <c r="AT63" s="21">
        <v>16117</v>
      </c>
      <c r="AU63" s="21">
        <v>48371</v>
      </c>
      <c r="AV63" s="21"/>
      <c r="AW63" s="21"/>
      <c r="AX63" s="101"/>
      <c r="AY63" s="101"/>
      <c r="AZ63" s="101"/>
      <c r="BA63" s="10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143">
        <v>3450</v>
      </c>
      <c r="BO63" s="143">
        <v>11506</v>
      </c>
      <c r="BP63" s="21"/>
      <c r="BQ63" s="21"/>
      <c r="BR63" s="21">
        <f t="shared" si="7"/>
        <v>58297</v>
      </c>
      <c r="BS63" s="21">
        <f t="shared" si="7"/>
        <v>255562.31700000001</v>
      </c>
    </row>
    <row r="64" spans="1:71" x14ac:dyDescent="0.25">
      <c r="A64" s="21" t="s">
        <v>71</v>
      </c>
      <c r="B64" s="21"/>
      <c r="C64" s="21"/>
      <c r="D64" s="21"/>
      <c r="E64" s="21"/>
      <c r="F64" s="21"/>
      <c r="G64" s="21"/>
      <c r="H64" s="21"/>
      <c r="I64" s="21"/>
      <c r="J64" s="124">
        <v>7211</v>
      </c>
      <c r="K64" s="124">
        <v>9457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>
        <v>-3771</v>
      </c>
      <c r="AC64" s="21">
        <v>-12210</v>
      </c>
      <c r="AD64" s="21">
        <v>1119</v>
      </c>
      <c r="AE64" s="21">
        <v>11964</v>
      </c>
      <c r="AF64" s="21">
        <v>566</v>
      </c>
      <c r="AG64" s="21">
        <v>577</v>
      </c>
      <c r="AH64" s="21"/>
      <c r="AI64" s="21"/>
      <c r="AJ64" s="21"/>
      <c r="AK64" s="21"/>
      <c r="AL64" s="21"/>
      <c r="AM64" s="21"/>
      <c r="AN64" s="21"/>
      <c r="AO64" s="21"/>
      <c r="AP64" s="21">
        <v>33888.769999999997</v>
      </c>
      <c r="AQ64" s="21">
        <v>49252.67</v>
      </c>
      <c r="AR64" s="21">
        <v>28255</v>
      </c>
      <c r="AS64" s="21">
        <v>84777</v>
      </c>
      <c r="AT64" s="21">
        <v>-9656</v>
      </c>
      <c r="AU64" s="21">
        <v>18939</v>
      </c>
      <c r="AV64" s="21"/>
      <c r="AW64" s="21"/>
      <c r="AX64" s="101">
        <v>585</v>
      </c>
      <c r="AY64" s="101">
        <v>3571</v>
      </c>
      <c r="AZ64" s="101"/>
      <c r="BA64" s="10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>
        <v>1336</v>
      </c>
      <c r="BM64" s="21">
        <v>2515</v>
      </c>
      <c r="BN64" s="143">
        <v>10979</v>
      </c>
      <c r="BO64" s="143">
        <v>35862</v>
      </c>
      <c r="BP64" s="21"/>
      <c r="BQ64" s="21"/>
      <c r="BR64" s="21">
        <f t="shared" si="7"/>
        <v>70512.76999999999</v>
      </c>
      <c r="BS64" s="21">
        <f t="shared" si="7"/>
        <v>204704.66999999998</v>
      </c>
    </row>
    <row r="65" spans="1:71" x14ac:dyDescent="0.25">
      <c r="A65" s="21" t="s">
        <v>72</v>
      </c>
      <c r="B65" s="21"/>
      <c r="C65" s="21"/>
      <c r="D65" s="21"/>
      <c r="E65" s="21"/>
      <c r="F65" s="21"/>
      <c r="G65" s="21"/>
      <c r="H65" s="21"/>
      <c r="I65" s="21"/>
      <c r="J65" s="124">
        <v>2274</v>
      </c>
      <c r="K65" s="124">
        <v>4290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>
        <v>-2084</v>
      </c>
      <c r="AC65" s="21">
        <v>-6577</v>
      </c>
      <c r="AD65" s="21">
        <v>-3441</v>
      </c>
      <c r="AE65" s="21">
        <v>6291</v>
      </c>
      <c r="AF65" s="21">
        <v>-132</v>
      </c>
      <c r="AG65" s="21">
        <v>-136</v>
      </c>
      <c r="AH65" s="21"/>
      <c r="AI65" s="21"/>
      <c r="AJ65" s="21"/>
      <c r="AK65" s="21"/>
      <c r="AL65" s="21"/>
      <c r="AM65" s="21"/>
      <c r="AN65" s="21"/>
      <c r="AO65" s="21"/>
      <c r="AP65" s="21">
        <v>-33367.686999999998</v>
      </c>
      <c r="AQ65" s="21">
        <v>-46777.072</v>
      </c>
      <c r="AR65" s="21">
        <v>17913</v>
      </c>
      <c r="AS65" s="21">
        <v>112419</v>
      </c>
      <c r="AT65" s="21">
        <v>27404</v>
      </c>
      <c r="AU65" s="21">
        <v>37430</v>
      </c>
      <c r="AV65" s="21"/>
      <c r="AW65" s="21"/>
      <c r="AX65" s="101">
        <v>-111</v>
      </c>
      <c r="AY65" s="101">
        <v>-1322</v>
      </c>
      <c r="AZ65" s="101"/>
      <c r="BA65" s="10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>
        <v>-4985</v>
      </c>
      <c r="BM65" s="21">
        <v>-1293</v>
      </c>
      <c r="BN65" s="143">
        <v>-3662</v>
      </c>
      <c r="BO65" s="143">
        <v>-15705</v>
      </c>
      <c r="BP65" s="21"/>
      <c r="BQ65" s="21"/>
      <c r="BR65" s="21">
        <f t="shared" si="7"/>
        <v>-191.68699999999808</v>
      </c>
      <c r="BS65" s="21">
        <f t="shared" si="7"/>
        <v>88619.928</v>
      </c>
    </row>
    <row r="67" spans="1:71" x14ac:dyDescent="0.25">
      <c r="A67" s="13" t="s">
        <v>170</v>
      </c>
    </row>
    <row r="68" spans="1:71" s="15" customFormat="1" x14ac:dyDescent="0.25">
      <c r="A68" s="23" t="s">
        <v>0</v>
      </c>
      <c r="B68" s="200" t="s">
        <v>1</v>
      </c>
      <c r="C68" s="200"/>
      <c r="D68" s="200" t="s">
        <v>2</v>
      </c>
      <c r="E68" s="200"/>
      <c r="F68" s="200" t="s">
        <v>3</v>
      </c>
      <c r="G68" s="200"/>
      <c r="H68" s="200" t="s">
        <v>4</v>
      </c>
      <c r="I68" s="200"/>
      <c r="J68" s="200" t="s">
        <v>5</v>
      </c>
      <c r="K68" s="200"/>
      <c r="L68" s="200" t="s">
        <v>6</v>
      </c>
      <c r="M68" s="200"/>
      <c r="N68" s="200" t="s">
        <v>7</v>
      </c>
      <c r="O68" s="200"/>
      <c r="P68" s="200" t="s">
        <v>8</v>
      </c>
      <c r="Q68" s="200"/>
      <c r="R68" s="200" t="s">
        <v>9</v>
      </c>
      <c r="S68" s="200"/>
      <c r="T68" s="200" t="s">
        <v>10</v>
      </c>
      <c r="U68" s="200"/>
      <c r="V68" s="200" t="s">
        <v>11</v>
      </c>
      <c r="W68" s="200"/>
      <c r="X68" s="200" t="s">
        <v>12</v>
      </c>
      <c r="Y68" s="200"/>
      <c r="Z68" s="200" t="s">
        <v>13</v>
      </c>
      <c r="AA68" s="200"/>
      <c r="AB68" s="200" t="s">
        <v>14</v>
      </c>
      <c r="AC68" s="200"/>
      <c r="AD68" s="200" t="s">
        <v>15</v>
      </c>
      <c r="AE68" s="200"/>
      <c r="AF68" s="200" t="s">
        <v>16</v>
      </c>
      <c r="AG68" s="200"/>
      <c r="AH68" s="200" t="s">
        <v>17</v>
      </c>
      <c r="AI68" s="200"/>
      <c r="AJ68" s="200" t="s">
        <v>18</v>
      </c>
      <c r="AK68" s="200"/>
      <c r="AL68" s="200" t="s">
        <v>19</v>
      </c>
      <c r="AM68" s="200"/>
      <c r="AN68" s="200" t="s">
        <v>20</v>
      </c>
      <c r="AO68" s="200"/>
      <c r="AP68" s="200" t="s">
        <v>21</v>
      </c>
      <c r="AQ68" s="200"/>
      <c r="AR68" s="200" t="s">
        <v>147</v>
      </c>
      <c r="AS68" s="200"/>
      <c r="AT68" s="200" t="s">
        <v>148</v>
      </c>
      <c r="AU68" s="200"/>
      <c r="AV68" s="200" t="s">
        <v>22</v>
      </c>
      <c r="AW68" s="200"/>
      <c r="AX68" s="200" t="s">
        <v>23</v>
      </c>
      <c r="AY68" s="200"/>
      <c r="AZ68" s="200" t="s">
        <v>332</v>
      </c>
      <c r="BA68" s="200"/>
      <c r="BB68" s="200" t="s">
        <v>24</v>
      </c>
      <c r="BC68" s="200"/>
      <c r="BD68" s="200" t="s">
        <v>25</v>
      </c>
      <c r="BE68" s="200"/>
      <c r="BF68" s="200" t="s">
        <v>26</v>
      </c>
      <c r="BG68" s="200"/>
      <c r="BH68" s="200" t="s">
        <v>27</v>
      </c>
      <c r="BI68" s="200"/>
      <c r="BJ68" s="200" t="s">
        <v>28</v>
      </c>
      <c r="BK68" s="200"/>
      <c r="BL68" s="200" t="s">
        <v>29</v>
      </c>
      <c r="BM68" s="200"/>
      <c r="BN68" s="200" t="s">
        <v>30</v>
      </c>
      <c r="BO68" s="200"/>
      <c r="BP68" s="200" t="s">
        <v>31</v>
      </c>
      <c r="BQ68" s="200"/>
      <c r="BR68" s="200" t="s">
        <v>250</v>
      </c>
      <c r="BS68" s="200"/>
    </row>
    <row r="69" spans="1:71" s="42" customFormat="1" ht="44.25" customHeight="1" x14ac:dyDescent="0.25">
      <c r="A69" s="43"/>
      <c r="B69" s="43" t="s">
        <v>321</v>
      </c>
      <c r="C69" s="43" t="s">
        <v>322</v>
      </c>
      <c r="D69" s="43" t="s">
        <v>321</v>
      </c>
      <c r="E69" s="43" t="s">
        <v>322</v>
      </c>
      <c r="F69" s="43" t="s">
        <v>321</v>
      </c>
      <c r="G69" s="43" t="s">
        <v>322</v>
      </c>
      <c r="H69" s="43" t="s">
        <v>321</v>
      </c>
      <c r="I69" s="43" t="s">
        <v>322</v>
      </c>
      <c r="J69" s="43" t="s">
        <v>321</v>
      </c>
      <c r="K69" s="43" t="s">
        <v>322</v>
      </c>
      <c r="L69" s="43" t="s">
        <v>321</v>
      </c>
      <c r="M69" s="43" t="s">
        <v>322</v>
      </c>
      <c r="N69" s="43" t="s">
        <v>321</v>
      </c>
      <c r="O69" s="43" t="s">
        <v>322</v>
      </c>
      <c r="P69" s="43" t="s">
        <v>321</v>
      </c>
      <c r="Q69" s="43" t="s">
        <v>322</v>
      </c>
      <c r="R69" s="43" t="s">
        <v>321</v>
      </c>
      <c r="S69" s="43" t="s">
        <v>322</v>
      </c>
      <c r="T69" s="43" t="s">
        <v>321</v>
      </c>
      <c r="U69" s="43" t="s">
        <v>322</v>
      </c>
      <c r="V69" s="43" t="s">
        <v>321</v>
      </c>
      <c r="W69" s="43" t="s">
        <v>322</v>
      </c>
      <c r="X69" s="43" t="s">
        <v>321</v>
      </c>
      <c r="Y69" s="43" t="s">
        <v>322</v>
      </c>
      <c r="Z69" s="43" t="s">
        <v>321</v>
      </c>
      <c r="AA69" s="43" t="s">
        <v>322</v>
      </c>
      <c r="AB69" s="43" t="s">
        <v>321</v>
      </c>
      <c r="AC69" s="43" t="s">
        <v>322</v>
      </c>
      <c r="AD69" s="43" t="s">
        <v>321</v>
      </c>
      <c r="AE69" s="43" t="s">
        <v>322</v>
      </c>
      <c r="AF69" s="43" t="s">
        <v>321</v>
      </c>
      <c r="AG69" s="43" t="s">
        <v>322</v>
      </c>
      <c r="AH69" s="43" t="s">
        <v>321</v>
      </c>
      <c r="AI69" s="43" t="s">
        <v>322</v>
      </c>
      <c r="AJ69" s="43" t="s">
        <v>321</v>
      </c>
      <c r="AK69" s="43" t="s">
        <v>322</v>
      </c>
      <c r="AL69" s="43" t="s">
        <v>321</v>
      </c>
      <c r="AM69" s="43" t="s">
        <v>322</v>
      </c>
      <c r="AN69" s="43" t="s">
        <v>321</v>
      </c>
      <c r="AO69" s="43" t="s">
        <v>322</v>
      </c>
      <c r="AP69" s="43" t="s">
        <v>321</v>
      </c>
      <c r="AQ69" s="43" t="s">
        <v>322</v>
      </c>
      <c r="AR69" s="43" t="s">
        <v>321</v>
      </c>
      <c r="AS69" s="43" t="s">
        <v>322</v>
      </c>
      <c r="AT69" s="43" t="s">
        <v>321</v>
      </c>
      <c r="AU69" s="43" t="s">
        <v>322</v>
      </c>
      <c r="AV69" s="43" t="s">
        <v>321</v>
      </c>
      <c r="AW69" s="43" t="s">
        <v>322</v>
      </c>
      <c r="AX69" s="43" t="s">
        <v>321</v>
      </c>
      <c r="AY69" s="43" t="s">
        <v>322</v>
      </c>
      <c r="AZ69" s="43" t="s">
        <v>321</v>
      </c>
      <c r="BA69" s="43" t="s">
        <v>322</v>
      </c>
      <c r="BB69" s="43" t="s">
        <v>321</v>
      </c>
      <c r="BC69" s="43" t="s">
        <v>322</v>
      </c>
      <c r="BD69" s="43" t="s">
        <v>321</v>
      </c>
      <c r="BE69" s="43" t="s">
        <v>322</v>
      </c>
      <c r="BF69" s="43" t="s">
        <v>321</v>
      </c>
      <c r="BG69" s="43" t="s">
        <v>322</v>
      </c>
      <c r="BH69" s="43" t="s">
        <v>321</v>
      </c>
      <c r="BI69" s="43" t="s">
        <v>322</v>
      </c>
      <c r="BJ69" s="43" t="s">
        <v>321</v>
      </c>
      <c r="BK69" s="43" t="s">
        <v>322</v>
      </c>
      <c r="BL69" s="43" t="s">
        <v>321</v>
      </c>
      <c r="BM69" s="43" t="s">
        <v>322</v>
      </c>
      <c r="BN69" s="43" t="s">
        <v>321</v>
      </c>
      <c r="BO69" s="43" t="s">
        <v>322</v>
      </c>
      <c r="BP69" s="43" t="s">
        <v>321</v>
      </c>
      <c r="BQ69" s="43" t="s">
        <v>322</v>
      </c>
      <c r="BR69" s="43" t="s">
        <v>321</v>
      </c>
      <c r="BS69" s="43" t="s">
        <v>322</v>
      </c>
    </row>
    <row r="70" spans="1:71" x14ac:dyDescent="0.25">
      <c r="A70" s="21" t="s">
        <v>69</v>
      </c>
      <c r="B70" s="21">
        <f t="shared" ref="B70:C73" si="8">B78-B46-B38-B30-B22-B14-B6-B54-B62</f>
        <v>0</v>
      </c>
      <c r="C70" s="21">
        <f t="shared" si="8"/>
        <v>0</v>
      </c>
      <c r="D70" s="21"/>
      <c r="E70" s="21"/>
      <c r="F70" s="21"/>
      <c r="G70" s="21"/>
      <c r="H70" s="21">
        <f>H78-H46-H38-H30-H22-H14-H6-H54-H62</f>
        <v>4769</v>
      </c>
      <c r="I70" s="21">
        <f>I78-I46-I38-I30-I22-I14-I6-I54-I62</f>
        <v>21269</v>
      </c>
      <c r="J70" s="44">
        <f t="shared" ref="J70:K73" si="9">J78-J46-J38-J30-J22-J14-J6-J54-J62</f>
        <v>278597</v>
      </c>
      <c r="K70" s="44">
        <f t="shared" si="9"/>
        <v>906422</v>
      </c>
      <c r="L70" s="21">
        <f t="shared" ref="L70:BQ70" si="10">L78-L46-L38-L30-L22-L14-L6-L54-L62</f>
        <v>6483</v>
      </c>
      <c r="M70" s="21">
        <f t="shared" si="10"/>
        <v>20934</v>
      </c>
      <c r="N70" s="21">
        <f t="shared" si="10"/>
        <v>17202</v>
      </c>
      <c r="O70" s="21">
        <f t="shared" si="10"/>
        <v>53320</v>
      </c>
      <c r="P70" s="21">
        <f t="shared" si="10"/>
        <v>147</v>
      </c>
      <c r="Q70" s="21">
        <f t="shared" si="10"/>
        <v>494</v>
      </c>
      <c r="R70" s="21">
        <f t="shared" si="10"/>
        <v>247</v>
      </c>
      <c r="S70" s="21">
        <f t="shared" si="10"/>
        <v>247</v>
      </c>
      <c r="T70" s="21">
        <f t="shared" si="10"/>
        <v>117</v>
      </c>
      <c r="U70" s="21">
        <f t="shared" si="10"/>
        <v>117</v>
      </c>
      <c r="V70" s="21">
        <f t="shared" si="10"/>
        <v>35868.43</v>
      </c>
      <c r="W70" s="21">
        <f t="shared" si="10"/>
        <v>70815.740000000005</v>
      </c>
      <c r="X70" s="21">
        <f t="shared" si="10"/>
        <v>19111</v>
      </c>
      <c r="Y70" s="21">
        <f t="shared" si="10"/>
        <v>120011</v>
      </c>
      <c r="Z70" s="21">
        <f t="shared" si="10"/>
        <v>116</v>
      </c>
      <c r="AA70" s="21">
        <f t="shared" si="10"/>
        <v>180</v>
      </c>
      <c r="AB70" s="21">
        <f t="shared" si="10"/>
        <v>62092</v>
      </c>
      <c r="AC70" s="21">
        <f t="shared" si="10"/>
        <v>246822</v>
      </c>
      <c r="AD70" s="21">
        <f t="shared" si="10"/>
        <v>162849</v>
      </c>
      <c r="AE70" s="21">
        <f t="shared" si="10"/>
        <v>733639</v>
      </c>
      <c r="AF70" s="21">
        <f t="shared" si="10"/>
        <v>99036</v>
      </c>
      <c r="AG70" s="21">
        <f t="shared" si="10"/>
        <v>359002</v>
      </c>
      <c r="AH70" s="21">
        <f t="shared" si="10"/>
        <v>4034</v>
      </c>
      <c r="AI70" s="21">
        <f t="shared" si="10"/>
        <v>17388</v>
      </c>
      <c r="AJ70" s="21">
        <f t="shared" si="10"/>
        <v>30857</v>
      </c>
      <c r="AK70" s="21">
        <f t="shared" si="10"/>
        <v>92226</v>
      </c>
      <c r="AL70" s="21">
        <f t="shared" si="10"/>
        <v>14241</v>
      </c>
      <c r="AM70" s="21">
        <f t="shared" si="10"/>
        <v>23377</v>
      </c>
      <c r="AN70" s="21">
        <f t="shared" si="10"/>
        <v>0</v>
      </c>
      <c r="AO70" s="21">
        <f t="shared" si="10"/>
        <v>0</v>
      </c>
      <c r="AP70" s="21">
        <f t="shared" si="10"/>
        <v>249517.79200000063</v>
      </c>
      <c r="AQ70" s="21">
        <f t="shared" si="10"/>
        <v>655451.83799999999</v>
      </c>
      <c r="AR70" s="21">
        <f t="shared" si="10"/>
        <v>254160</v>
      </c>
      <c r="AS70" s="21">
        <f t="shared" si="10"/>
        <v>1450755</v>
      </c>
      <c r="AT70" s="21">
        <f t="shared" si="10"/>
        <v>273734</v>
      </c>
      <c r="AU70" s="21">
        <f t="shared" si="10"/>
        <v>897109</v>
      </c>
      <c r="AV70" s="21">
        <f t="shared" si="10"/>
        <v>498</v>
      </c>
      <c r="AW70" s="21">
        <f t="shared" si="10"/>
        <v>3705</v>
      </c>
      <c r="AX70" s="21">
        <f t="shared" si="10"/>
        <v>9261</v>
      </c>
      <c r="AY70" s="21">
        <f t="shared" si="10"/>
        <v>60746</v>
      </c>
      <c r="AZ70" s="21"/>
      <c r="BA70" s="21"/>
      <c r="BB70" s="21">
        <f t="shared" si="10"/>
        <v>13822</v>
      </c>
      <c r="BC70" s="21">
        <f t="shared" si="10"/>
        <v>72711</v>
      </c>
      <c r="BD70" s="21">
        <f t="shared" si="10"/>
        <v>7338</v>
      </c>
      <c r="BE70" s="21">
        <f t="shared" si="10"/>
        <v>18058</v>
      </c>
      <c r="BF70" s="21">
        <f t="shared" si="10"/>
        <v>88434</v>
      </c>
      <c r="BG70" s="21">
        <f t="shared" si="10"/>
        <v>211888</v>
      </c>
      <c r="BH70" s="21">
        <f t="shared" si="10"/>
        <v>5154</v>
      </c>
      <c r="BI70" s="21">
        <f t="shared" si="10"/>
        <v>16698</v>
      </c>
      <c r="BJ70" s="21">
        <f t="shared" si="10"/>
        <v>2892657</v>
      </c>
      <c r="BK70" s="21">
        <f t="shared" si="10"/>
        <v>7387207</v>
      </c>
      <c r="BL70" s="21">
        <f t="shared" si="10"/>
        <v>60991</v>
      </c>
      <c r="BM70" s="21">
        <f t="shared" si="10"/>
        <v>223156</v>
      </c>
      <c r="BN70" s="21">
        <f t="shared" si="10"/>
        <v>218399</v>
      </c>
      <c r="BO70" s="21">
        <f t="shared" si="10"/>
        <v>690047</v>
      </c>
      <c r="BP70" s="21">
        <f t="shared" si="10"/>
        <v>30162</v>
      </c>
      <c r="BQ70" s="21">
        <f t="shared" si="10"/>
        <v>99668</v>
      </c>
      <c r="BR70" s="21">
        <f t="shared" ref="BR70:BS73" si="11">B70+D70+F70+H70+J70+L70+N70+P70+R70+T70+V70+X70+Z70+AB70+AD70+AF70+AH70+AJ70+AL70+AN70+AP70+AR70+AT70+AV70+AX70+BB70+BD70+BF70+BH70+BJ70+BL70+BN70+BP70</f>
        <v>4839894.222000001</v>
      </c>
      <c r="BS70" s="21">
        <f t="shared" si="11"/>
        <v>14453463.578</v>
      </c>
    </row>
    <row r="71" spans="1:71" x14ac:dyDescent="0.25">
      <c r="A71" s="21" t="s">
        <v>70</v>
      </c>
      <c r="B71" s="21">
        <f t="shared" si="8"/>
        <v>0</v>
      </c>
      <c r="C71" s="21">
        <f t="shared" si="8"/>
        <v>0</v>
      </c>
      <c r="D71" s="21"/>
      <c r="E71" s="21"/>
      <c r="F71" s="21"/>
      <c r="G71" s="21"/>
      <c r="H71" s="21"/>
      <c r="I71" s="21"/>
      <c r="J71" s="44">
        <f t="shared" si="9"/>
        <v>-33</v>
      </c>
      <c r="K71" s="44">
        <f t="shared" si="9"/>
        <v>889</v>
      </c>
      <c r="L71" s="21">
        <f t="shared" ref="L71:BQ71" si="12">L79-L47-L39-L31-L23-L15-L7-L55-L63</f>
        <v>0</v>
      </c>
      <c r="M71" s="21">
        <f t="shared" si="12"/>
        <v>2</v>
      </c>
      <c r="N71" s="21">
        <f t="shared" si="12"/>
        <v>0</v>
      </c>
      <c r="O71" s="21">
        <f t="shared" si="12"/>
        <v>0</v>
      </c>
      <c r="P71" s="21">
        <f t="shared" si="12"/>
        <v>0</v>
      </c>
      <c r="Q71" s="21">
        <f t="shared" si="12"/>
        <v>0</v>
      </c>
      <c r="R71" s="21">
        <f t="shared" si="12"/>
        <v>0</v>
      </c>
      <c r="S71" s="21">
        <f t="shared" si="12"/>
        <v>0</v>
      </c>
      <c r="T71" s="21">
        <f t="shared" si="12"/>
        <v>0</v>
      </c>
      <c r="U71" s="21">
        <f t="shared" si="12"/>
        <v>0</v>
      </c>
      <c r="V71" s="21">
        <f t="shared" si="12"/>
        <v>0</v>
      </c>
      <c r="W71" s="21">
        <f t="shared" si="12"/>
        <v>0</v>
      </c>
      <c r="X71" s="21"/>
      <c r="Y71" s="21"/>
      <c r="Z71" s="21">
        <f t="shared" si="12"/>
        <v>82820</v>
      </c>
      <c r="AA71" s="21">
        <f t="shared" si="12"/>
        <v>102120</v>
      </c>
      <c r="AB71" s="21">
        <f t="shared" si="12"/>
        <v>1677</v>
      </c>
      <c r="AC71" s="21">
        <f t="shared" si="12"/>
        <v>18186</v>
      </c>
      <c r="AD71" s="21">
        <f t="shared" si="12"/>
        <v>1759</v>
      </c>
      <c r="AE71" s="21">
        <f t="shared" si="12"/>
        <v>7876</v>
      </c>
      <c r="AF71" s="21">
        <f t="shared" si="12"/>
        <v>672</v>
      </c>
      <c r="AG71" s="21">
        <f t="shared" si="12"/>
        <v>6911</v>
      </c>
      <c r="AH71" s="21">
        <f t="shared" si="12"/>
        <v>0</v>
      </c>
      <c r="AI71" s="21">
        <f t="shared" si="12"/>
        <v>0</v>
      </c>
      <c r="AJ71" s="21">
        <f t="shared" si="12"/>
        <v>1</v>
      </c>
      <c r="AK71" s="21">
        <f t="shared" si="12"/>
        <v>0</v>
      </c>
      <c r="AL71" s="21">
        <f t="shared" si="12"/>
        <v>0</v>
      </c>
      <c r="AM71" s="21">
        <f t="shared" si="12"/>
        <v>501</v>
      </c>
      <c r="AN71" s="21">
        <f t="shared" si="12"/>
        <v>0</v>
      </c>
      <c r="AO71" s="21">
        <f t="shared" si="12"/>
        <v>0</v>
      </c>
      <c r="AP71" s="21">
        <f t="shared" si="12"/>
        <v>17524.363000000012</v>
      </c>
      <c r="AQ71" s="21">
        <f t="shared" si="12"/>
        <v>34379.093000000001</v>
      </c>
      <c r="AR71" s="21">
        <f t="shared" si="12"/>
        <v>18443</v>
      </c>
      <c r="AS71" s="21">
        <f t="shared" si="12"/>
        <v>55317</v>
      </c>
      <c r="AT71" s="21">
        <f t="shared" si="12"/>
        <v>2057</v>
      </c>
      <c r="AU71" s="21">
        <f t="shared" si="12"/>
        <v>95035</v>
      </c>
      <c r="AV71" s="21">
        <f t="shared" si="12"/>
        <v>0</v>
      </c>
      <c r="AW71" s="21">
        <f t="shared" si="12"/>
        <v>-1</v>
      </c>
      <c r="AX71" s="21">
        <f t="shared" si="12"/>
        <v>10</v>
      </c>
      <c r="AY71" s="21">
        <f t="shared" si="12"/>
        <v>38</v>
      </c>
      <c r="AZ71" s="21"/>
      <c r="BA71" s="21"/>
      <c r="BB71" s="21">
        <f t="shared" si="12"/>
        <v>0</v>
      </c>
      <c r="BC71" s="21">
        <f t="shared" si="12"/>
        <v>0</v>
      </c>
      <c r="BD71" s="21">
        <f t="shared" si="12"/>
        <v>0</v>
      </c>
      <c r="BE71" s="21">
        <f t="shared" si="12"/>
        <v>0</v>
      </c>
      <c r="BF71" s="21">
        <f t="shared" si="12"/>
        <v>0</v>
      </c>
      <c r="BG71" s="21">
        <f t="shared" si="12"/>
        <v>0</v>
      </c>
      <c r="BH71" s="21">
        <f t="shared" si="12"/>
        <v>0</v>
      </c>
      <c r="BI71" s="21">
        <f t="shared" si="12"/>
        <v>0</v>
      </c>
      <c r="BJ71" s="21">
        <f t="shared" si="12"/>
        <v>0</v>
      </c>
      <c r="BK71" s="21">
        <f t="shared" si="12"/>
        <v>0</v>
      </c>
      <c r="BL71" s="21">
        <f t="shared" si="12"/>
        <v>0</v>
      </c>
      <c r="BM71" s="21">
        <f t="shared" si="12"/>
        <v>4</v>
      </c>
      <c r="BN71" s="21">
        <f t="shared" si="12"/>
        <v>-10680</v>
      </c>
      <c r="BO71" s="21">
        <f t="shared" si="12"/>
        <v>1352</v>
      </c>
      <c r="BP71" s="21">
        <f t="shared" si="12"/>
        <v>0</v>
      </c>
      <c r="BQ71" s="21">
        <f t="shared" si="12"/>
        <v>0</v>
      </c>
      <c r="BR71" s="21">
        <f t="shared" si="11"/>
        <v>114250.36300000001</v>
      </c>
      <c r="BS71" s="21">
        <f t="shared" si="11"/>
        <v>322609.09299999999</v>
      </c>
    </row>
    <row r="72" spans="1:71" x14ac:dyDescent="0.25">
      <c r="A72" s="21" t="s">
        <v>71</v>
      </c>
      <c r="B72" s="21">
        <f t="shared" si="8"/>
        <v>-1</v>
      </c>
      <c r="C72" s="21">
        <f t="shared" si="8"/>
        <v>0</v>
      </c>
      <c r="D72" s="21"/>
      <c r="E72" s="21"/>
      <c r="F72" s="21"/>
      <c r="G72" s="21"/>
      <c r="H72" s="21">
        <f>H80-H48-H40-H32-H24-H16-H8-H56-H64</f>
        <v>591</v>
      </c>
      <c r="I72" s="21">
        <f>I80-I48-I40-I32-I24-I16-I8-I56-I64</f>
        <v>26823</v>
      </c>
      <c r="J72" s="44">
        <f t="shared" si="9"/>
        <v>968811</v>
      </c>
      <c r="K72" s="44">
        <f t="shared" si="9"/>
        <v>1904720</v>
      </c>
      <c r="L72" s="21">
        <f t="shared" ref="L72:BQ72" si="13">L80-L48-L40-L32-L24-L16-L8-L56-L64</f>
        <v>267818</v>
      </c>
      <c r="M72" s="21">
        <f t="shared" si="13"/>
        <v>513284</v>
      </c>
      <c r="N72" s="21">
        <f t="shared" si="13"/>
        <v>68470</v>
      </c>
      <c r="O72" s="21">
        <f t="shared" si="13"/>
        <v>201559</v>
      </c>
      <c r="P72" s="21">
        <f t="shared" si="13"/>
        <v>15</v>
      </c>
      <c r="Q72" s="21">
        <f t="shared" si="13"/>
        <v>49</v>
      </c>
      <c r="R72" s="21">
        <f t="shared" si="13"/>
        <v>-24</v>
      </c>
      <c r="S72" s="21">
        <f t="shared" si="13"/>
        <v>-32</v>
      </c>
      <c r="T72" s="21">
        <f t="shared" si="13"/>
        <v>7</v>
      </c>
      <c r="U72" s="21">
        <f t="shared" si="13"/>
        <v>7</v>
      </c>
      <c r="V72" s="21">
        <f t="shared" si="13"/>
        <v>192890.22</v>
      </c>
      <c r="W72" s="21">
        <f t="shared" si="13"/>
        <v>586420.72</v>
      </c>
      <c r="X72" s="21">
        <f t="shared" si="13"/>
        <v>88430</v>
      </c>
      <c r="Y72" s="21">
        <f t="shared" si="13"/>
        <v>270583</v>
      </c>
      <c r="Z72" s="21">
        <f t="shared" si="13"/>
        <v>80693</v>
      </c>
      <c r="AA72" s="21">
        <f t="shared" si="13"/>
        <v>100473</v>
      </c>
      <c r="AB72" s="21">
        <f t="shared" si="13"/>
        <v>-113415</v>
      </c>
      <c r="AC72" s="21">
        <f t="shared" si="13"/>
        <v>-1289788</v>
      </c>
      <c r="AD72" s="21">
        <f t="shared" si="13"/>
        <v>31388</v>
      </c>
      <c r="AE72" s="21">
        <f t="shared" si="13"/>
        <v>916208</v>
      </c>
      <c r="AF72" s="21">
        <f t="shared" si="13"/>
        <v>374214</v>
      </c>
      <c r="AG72" s="21">
        <f t="shared" si="13"/>
        <v>1034639</v>
      </c>
      <c r="AH72" s="21">
        <f t="shared" si="13"/>
        <v>799</v>
      </c>
      <c r="AI72" s="21">
        <f t="shared" si="13"/>
        <v>2537</v>
      </c>
      <c r="AJ72" s="21">
        <f t="shared" si="13"/>
        <v>5206</v>
      </c>
      <c r="AK72" s="21">
        <f t="shared" si="13"/>
        <v>16494</v>
      </c>
      <c r="AL72" s="21">
        <f t="shared" si="13"/>
        <v>-25715</v>
      </c>
      <c r="AM72" s="21">
        <f t="shared" si="13"/>
        <v>-45563</v>
      </c>
      <c r="AN72" s="21">
        <f t="shared" si="13"/>
        <v>0</v>
      </c>
      <c r="AO72" s="21">
        <f t="shared" si="13"/>
        <v>0</v>
      </c>
      <c r="AP72" s="21">
        <f t="shared" si="13"/>
        <v>161284.08399999997</v>
      </c>
      <c r="AQ72" s="21">
        <f t="shared" si="13"/>
        <v>343555.67499999981</v>
      </c>
      <c r="AR72" s="21">
        <f t="shared" si="13"/>
        <v>-17964</v>
      </c>
      <c r="AS72" s="21">
        <f t="shared" si="13"/>
        <v>364714</v>
      </c>
      <c r="AT72" s="21">
        <f t="shared" si="13"/>
        <v>184521</v>
      </c>
      <c r="AU72" s="21">
        <f t="shared" si="13"/>
        <v>1246770</v>
      </c>
      <c r="AV72" s="21">
        <f t="shared" si="13"/>
        <v>704</v>
      </c>
      <c r="AW72" s="21">
        <f t="shared" si="13"/>
        <v>4279</v>
      </c>
      <c r="AX72" s="21">
        <f t="shared" si="13"/>
        <v>250018</v>
      </c>
      <c r="AY72" s="21">
        <f t="shared" si="13"/>
        <v>1083967</v>
      </c>
      <c r="AZ72" s="21"/>
      <c r="BA72" s="21"/>
      <c r="BB72" s="21">
        <f t="shared" si="13"/>
        <v>21452</v>
      </c>
      <c r="BC72" s="21">
        <f t="shared" si="13"/>
        <v>125038</v>
      </c>
      <c r="BD72" s="21">
        <f t="shared" si="13"/>
        <v>857</v>
      </c>
      <c r="BE72" s="21">
        <f t="shared" si="13"/>
        <v>-139817</v>
      </c>
      <c r="BF72" s="21">
        <f t="shared" si="13"/>
        <v>91493</v>
      </c>
      <c r="BG72" s="21">
        <f t="shared" si="13"/>
        <v>914552</v>
      </c>
      <c r="BH72" s="21">
        <f t="shared" si="13"/>
        <v>1704</v>
      </c>
      <c r="BI72" s="21">
        <f t="shared" si="13"/>
        <v>6132</v>
      </c>
      <c r="BJ72" s="21">
        <f t="shared" si="13"/>
        <v>2780889</v>
      </c>
      <c r="BK72" s="21">
        <f t="shared" si="13"/>
        <v>4818092</v>
      </c>
      <c r="BL72" s="21">
        <f t="shared" si="13"/>
        <v>109538</v>
      </c>
      <c r="BM72" s="21">
        <f t="shared" si="13"/>
        <v>350506</v>
      </c>
      <c r="BN72" s="21">
        <f t="shared" si="13"/>
        <v>189728</v>
      </c>
      <c r="BO72" s="21">
        <f t="shared" si="13"/>
        <v>387096</v>
      </c>
      <c r="BP72" s="21">
        <f t="shared" si="13"/>
        <v>73023</v>
      </c>
      <c r="BQ72" s="21">
        <f t="shared" si="13"/>
        <v>300498</v>
      </c>
      <c r="BR72" s="21">
        <f t="shared" si="11"/>
        <v>5787424.3039999995</v>
      </c>
      <c r="BS72" s="21">
        <f t="shared" si="11"/>
        <v>14043796.395</v>
      </c>
    </row>
    <row r="73" spans="1:71" x14ac:dyDescent="0.25">
      <c r="A73" s="21" t="s">
        <v>72</v>
      </c>
      <c r="B73" s="21">
        <f t="shared" si="8"/>
        <v>1</v>
      </c>
      <c r="C73" s="21">
        <f t="shared" si="8"/>
        <v>0</v>
      </c>
      <c r="D73" s="21"/>
      <c r="E73" s="21"/>
      <c r="F73" s="21"/>
      <c r="G73" s="21"/>
      <c r="H73" s="21">
        <f>H81-H49-H41-H33-H25-H17-H9-H57-H65</f>
        <v>4178</v>
      </c>
      <c r="I73" s="21">
        <f>I81-I49-I41-I33-I25-I17-I9-I57-I65</f>
        <v>-5554</v>
      </c>
      <c r="J73" s="44">
        <f t="shared" si="9"/>
        <v>-690247</v>
      </c>
      <c r="K73" s="44">
        <f t="shared" si="9"/>
        <v>-997409</v>
      </c>
      <c r="L73" s="21">
        <f t="shared" ref="L73:BQ73" si="14">L81-L49-L41-L33-L25-L17-L9-L57-L65</f>
        <v>-261335</v>
      </c>
      <c r="M73" s="21">
        <f t="shared" si="14"/>
        <v>-492348</v>
      </c>
      <c r="N73" s="21">
        <f t="shared" si="14"/>
        <v>-51268</v>
      </c>
      <c r="O73" s="21">
        <f t="shared" si="14"/>
        <v>-148239</v>
      </c>
      <c r="P73" s="21">
        <f t="shared" si="14"/>
        <v>133</v>
      </c>
      <c r="Q73" s="21">
        <f t="shared" si="14"/>
        <v>445</v>
      </c>
      <c r="R73" s="21">
        <f t="shared" si="14"/>
        <v>223</v>
      </c>
      <c r="S73" s="21">
        <f t="shared" si="14"/>
        <v>215</v>
      </c>
      <c r="T73" s="21">
        <f t="shared" si="14"/>
        <v>110</v>
      </c>
      <c r="U73" s="21">
        <f t="shared" si="14"/>
        <v>110</v>
      </c>
      <c r="V73" s="21">
        <f t="shared" si="14"/>
        <v>-157021.79</v>
      </c>
      <c r="W73" s="21">
        <f t="shared" si="14"/>
        <v>-515604.98</v>
      </c>
      <c r="X73" s="21">
        <f t="shared" si="14"/>
        <v>-69319</v>
      </c>
      <c r="Y73" s="21">
        <f t="shared" si="14"/>
        <v>-150572</v>
      </c>
      <c r="Z73" s="21">
        <f t="shared" si="14"/>
        <v>2244</v>
      </c>
      <c r="AA73" s="21">
        <f t="shared" si="14"/>
        <v>1827</v>
      </c>
      <c r="AB73" s="21">
        <f t="shared" si="14"/>
        <v>-49651</v>
      </c>
      <c r="AC73" s="21">
        <f t="shared" si="14"/>
        <v>-1024780</v>
      </c>
      <c r="AD73" s="21">
        <f t="shared" si="14"/>
        <v>133220</v>
      </c>
      <c r="AE73" s="21">
        <f t="shared" si="14"/>
        <v>-174693</v>
      </c>
      <c r="AF73" s="21">
        <f t="shared" si="14"/>
        <v>-274506</v>
      </c>
      <c r="AG73" s="21">
        <f t="shared" si="14"/>
        <v>-668726</v>
      </c>
      <c r="AH73" s="21">
        <f t="shared" si="14"/>
        <v>3235</v>
      </c>
      <c r="AI73" s="21">
        <f t="shared" si="14"/>
        <v>14851</v>
      </c>
      <c r="AJ73" s="21">
        <f t="shared" si="14"/>
        <v>25652</v>
      </c>
      <c r="AK73" s="21">
        <f t="shared" si="14"/>
        <v>75731</v>
      </c>
      <c r="AL73" s="21">
        <f t="shared" si="14"/>
        <v>-11474</v>
      </c>
      <c r="AM73" s="21">
        <f t="shared" si="14"/>
        <v>-21685</v>
      </c>
      <c r="AN73" s="21">
        <f t="shared" si="14"/>
        <v>0</v>
      </c>
      <c r="AO73" s="21">
        <f t="shared" si="14"/>
        <v>0</v>
      </c>
      <c r="AP73" s="21">
        <f t="shared" si="14"/>
        <v>105758.07100000075</v>
      </c>
      <c r="AQ73" s="21">
        <f t="shared" si="14"/>
        <v>346275.25600000005</v>
      </c>
      <c r="AR73" s="21">
        <f t="shared" si="14"/>
        <v>290568</v>
      </c>
      <c r="AS73" s="21">
        <f t="shared" si="14"/>
        <v>1141358</v>
      </c>
      <c r="AT73" s="21">
        <f t="shared" si="14"/>
        <v>91270</v>
      </c>
      <c r="AU73" s="21">
        <f t="shared" si="14"/>
        <v>-254626</v>
      </c>
      <c r="AV73" s="21">
        <f t="shared" si="14"/>
        <v>-208</v>
      </c>
      <c r="AW73" s="21">
        <f t="shared" si="14"/>
        <v>-570</v>
      </c>
      <c r="AX73" s="21">
        <f t="shared" si="14"/>
        <v>-240747</v>
      </c>
      <c r="AY73" s="21">
        <f t="shared" si="14"/>
        <v>-1023183</v>
      </c>
      <c r="AZ73" s="21"/>
      <c r="BA73" s="21"/>
      <c r="BB73" s="21">
        <f t="shared" si="14"/>
        <v>-7630</v>
      </c>
      <c r="BC73" s="21">
        <f t="shared" si="14"/>
        <v>-52327</v>
      </c>
      <c r="BD73" s="21">
        <f t="shared" si="14"/>
        <v>8195</v>
      </c>
      <c r="BE73" s="21">
        <f t="shared" si="14"/>
        <v>-121759</v>
      </c>
      <c r="BF73" s="21">
        <f t="shared" si="14"/>
        <v>-3059</v>
      </c>
      <c r="BG73" s="21">
        <f t="shared" si="14"/>
        <v>-702664</v>
      </c>
      <c r="BH73" s="21">
        <f t="shared" si="14"/>
        <v>3451</v>
      </c>
      <c r="BI73" s="21">
        <f t="shared" si="14"/>
        <v>10566</v>
      </c>
      <c r="BJ73" s="21">
        <f t="shared" si="14"/>
        <v>111768</v>
      </c>
      <c r="BK73" s="21">
        <f t="shared" si="14"/>
        <v>2569115</v>
      </c>
      <c r="BL73" s="21">
        <f t="shared" si="14"/>
        <v>-48547</v>
      </c>
      <c r="BM73" s="21">
        <f t="shared" si="14"/>
        <v>-127346</v>
      </c>
      <c r="BN73" s="21">
        <f t="shared" si="14"/>
        <v>17991</v>
      </c>
      <c r="BO73" s="21">
        <f t="shared" si="14"/>
        <v>304303</v>
      </c>
      <c r="BP73" s="21">
        <f t="shared" si="14"/>
        <v>-42861</v>
      </c>
      <c r="BQ73" s="21">
        <f t="shared" si="14"/>
        <v>-200830</v>
      </c>
      <c r="BR73" s="21">
        <f t="shared" si="11"/>
        <v>-1109876.7189999993</v>
      </c>
      <c r="BS73" s="21">
        <f t="shared" si="11"/>
        <v>-2218119.7239999995</v>
      </c>
    </row>
    <row r="75" spans="1:71" x14ac:dyDescent="0.25">
      <c r="A75" s="13" t="s">
        <v>61</v>
      </c>
    </row>
    <row r="76" spans="1:71" s="15" customFormat="1" x14ac:dyDescent="0.25">
      <c r="A76" s="23" t="s">
        <v>0</v>
      </c>
      <c r="B76" s="200" t="s">
        <v>1</v>
      </c>
      <c r="C76" s="200"/>
      <c r="D76" s="200" t="s">
        <v>2</v>
      </c>
      <c r="E76" s="200"/>
      <c r="F76" s="200" t="s">
        <v>3</v>
      </c>
      <c r="G76" s="200"/>
      <c r="H76" s="200" t="s">
        <v>4</v>
      </c>
      <c r="I76" s="200"/>
      <c r="J76" s="200" t="s">
        <v>5</v>
      </c>
      <c r="K76" s="200"/>
      <c r="L76" s="200" t="s">
        <v>6</v>
      </c>
      <c r="M76" s="200"/>
      <c r="N76" s="200" t="s">
        <v>7</v>
      </c>
      <c r="O76" s="200"/>
      <c r="P76" s="200" t="s">
        <v>8</v>
      </c>
      <c r="Q76" s="200"/>
      <c r="R76" s="200" t="s">
        <v>9</v>
      </c>
      <c r="S76" s="200"/>
      <c r="T76" s="200" t="s">
        <v>10</v>
      </c>
      <c r="U76" s="200"/>
      <c r="V76" s="200" t="s">
        <v>11</v>
      </c>
      <c r="W76" s="200"/>
      <c r="X76" s="200" t="s">
        <v>12</v>
      </c>
      <c r="Y76" s="200"/>
      <c r="Z76" s="200" t="s">
        <v>13</v>
      </c>
      <c r="AA76" s="200"/>
      <c r="AB76" s="200" t="s">
        <v>14</v>
      </c>
      <c r="AC76" s="200"/>
      <c r="AD76" s="200" t="s">
        <v>15</v>
      </c>
      <c r="AE76" s="200"/>
      <c r="AF76" s="200" t="s">
        <v>16</v>
      </c>
      <c r="AG76" s="200"/>
      <c r="AH76" s="200" t="s">
        <v>17</v>
      </c>
      <c r="AI76" s="200"/>
      <c r="AJ76" s="200" t="s">
        <v>18</v>
      </c>
      <c r="AK76" s="200"/>
      <c r="AL76" s="200" t="s">
        <v>19</v>
      </c>
      <c r="AM76" s="200"/>
      <c r="AN76" s="200" t="s">
        <v>20</v>
      </c>
      <c r="AO76" s="200"/>
      <c r="AP76" s="200" t="s">
        <v>21</v>
      </c>
      <c r="AQ76" s="200"/>
      <c r="AR76" s="200" t="s">
        <v>147</v>
      </c>
      <c r="AS76" s="200"/>
      <c r="AT76" s="200" t="s">
        <v>148</v>
      </c>
      <c r="AU76" s="200"/>
      <c r="AV76" s="200" t="s">
        <v>22</v>
      </c>
      <c r="AW76" s="200"/>
      <c r="AX76" s="200" t="s">
        <v>23</v>
      </c>
      <c r="AY76" s="200"/>
      <c r="AZ76" s="200" t="s">
        <v>332</v>
      </c>
      <c r="BA76" s="200"/>
      <c r="BB76" s="200" t="s">
        <v>24</v>
      </c>
      <c r="BC76" s="200"/>
      <c r="BD76" s="200" t="s">
        <v>25</v>
      </c>
      <c r="BE76" s="200"/>
      <c r="BF76" s="200" t="s">
        <v>26</v>
      </c>
      <c r="BG76" s="200"/>
      <c r="BH76" s="200" t="s">
        <v>27</v>
      </c>
      <c r="BI76" s="200"/>
      <c r="BJ76" s="200" t="s">
        <v>28</v>
      </c>
      <c r="BK76" s="200"/>
      <c r="BL76" s="200" t="s">
        <v>29</v>
      </c>
      <c r="BM76" s="200"/>
      <c r="BN76" s="200" t="s">
        <v>30</v>
      </c>
      <c r="BO76" s="200"/>
      <c r="BP76" s="200" t="s">
        <v>31</v>
      </c>
      <c r="BQ76" s="200"/>
      <c r="BR76" s="200" t="s">
        <v>250</v>
      </c>
      <c r="BS76" s="200"/>
    </row>
    <row r="77" spans="1:71" s="42" customFormat="1" ht="44.25" customHeight="1" x14ac:dyDescent="0.25">
      <c r="A77" s="43"/>
      <c r="B77" s="43" t="s">
        <v>321</v>
      </c>
      <c r="C77" s="43" t="s">
        <v>322</v>
      </c>
      <c r="D77" s="43" t="s">
        <v>321</v>
      </c>
      <c r="E77" s="43" t="s">
        <v>322</v>
      </c>
      <c r="F77" s="43" t="s">
        <v>321</v>
      </c>
      <c r="G77" s="43" t="s">
        <v>322</v>
      </c>
      <c r="H77" s="43" t="s">
        <v>321</v>
      </c>
      <c r="I77" s="43" t="s">
        <v>322</v>
      </c>
      <c r="J77" s="43" t="s">
        <v>321</v>
      </c>
      <c r="K77" s="43" t="s">
        <v>322</v>
      </c>
      <c r="L77" s="43" t="s">
        <v>321</v>
      </c>
      <c r="M77" s="43" t="s">
        <v>322</v>
      </c>
      <c r="N77" s="43" t="s">
        <v>321</v>
      </c>
      <c r="O77" s="43" t="s">
        <v>322</v>
      </c>
      <c r="P77" s="43" t="s">
        <v>321</v>
      </c>
      <c r="Q77" s="43" t="s">
        <v>322</v>
      </c>
      <c r="R77" s="43" t="s">
        <v>321</v>
      </c>
      <c r="S77" s="43" t="s">
        <v>322</v>
      </c>
      <c r="T77" s="43" t="s">
        <v>321</v>
      </c>
      <c r="U77" s="43" t="s">
        <v>322</v>
      </c>
      <c r="V77" s="43" t="s">
        <v>321</v>
      </c>
      <c r="W77" s="43" t="s">
        <v>322</v>
      </c>
      <c r="X77" s="43" t="s">
        <v>321</v>
      </c>
      <c r="Y77" s="43" t="s">
        <v>322</v>
      </c>
      <c r="Z77" s="43" t="s">
        <v>321</v>
      </c>
      <c r="AA77" s="43" t="s">
        <v>322</v>
      </c>
      <c r="AB77" s="43" t="s">
        <v>321</v>
      </c>
      <c r="AC77" s="43" t="s">
        <v>322</v>
      </c>
      <c r="AD77" s="43" t="s">
        <v>321</v>
      </c>
      <c r="AE77" s="43" t="s">
        <v>322</v>
      </c>
      <c r="AF77" s="43" t="s">
        <v>321</v>
      </c>
      <c r="AG77" s="43" t="s">
        <v>322</v>
      </c>
      <c r="AH77" s="43" t="s">
        <v>321</v>
      </c>
      <c r="AI77" s="43" t="s">
        <v>322</v>
      </c>
      <c r="AJ77" s="43" t="s">
        <v>321</v>
      </c>
      <c r="AK77" s="43" t="s">
        <v>322</v>
      </c>
      <c r="AL77" s="43" t="s">
        <v>321</v>
      </c>
      <c r="AM77" s="43" t="s">
        <v>322</v>
      </c>
      <c r="AN77" s="43" t="s">
        <v>321</v>
      </c>
      <c r="AO77" s="43" t="s">
        <v>322</v>
      </c>
      <c r="AP77" s="43" t="s">
        <v>321</v>
      </c>
      <c r="AQ77" s="43" t="s">
        <v>322</v>
      </c>
      <c r="AR77" s="43" t="s">
        <v>321</v>
      </c>
      <c r="AS77" s="43" t="s">
        <v>322</v>
      </c>
      <c r="AT77" s="43" t="s">
        <v>321</v>
      </c>
      <c r="AU77" s="43" t="s">
        <v>322</v>
      </c>
      <c r="AV77" s="43" t="s">
        <v>321</v>
      </c>
      <c r="AW77" s="43" t="s">
        <v>322</v>
      </c>
      <c r="AX77" s="43" t="s">
        <v>321</v>
      </c>
      <c r="AY77" s="43" t="s">
        <v>322</v>
      </c>
      <c r="AZ77" s="43" t="s">
        <v>321</v>
      </c>
      <c r="BA77" s="43" t="s">
        <v>322</v>
      </c>
      <c r="BB77" s="43" t="s">
        <v>321</v>
      </c>
      <c r="BC77" s="43" t="s">
        <v>322</v>
      </c>
      <c r="BD77" s="43" t="s">
        <v>321</v>
      </c>
      <c r="BE77" s="43" t="s">
        <v>322</v>
      </c>
      <c r="BF77" s="43" t="s">
        <v>321</v>
      </c>
      <c r="BG77" s="43" t="s">
        <v>322</v>
      </c>
      <c r="BH77" s="43" t="s">
        <v>321</v>
      </c>
      <c r="BI77" s="43" t="s">
        <v>322</v>
      </c>
      <c r="BJ77" s="43" t="s">
        <v>321</v>
      </c>
      <c r="BK77" s="43" t="s">
        <v>322</v>
      </c>
      <c r="BL77" s="43" t="s">
        <v>321</v>
      </c>
      <c r="BM77" s="43" t="s">
        <v>322</v>
      </c>
      <c r="BN77" s="43" t="s">
        <v>321</v>
      </c>
      <c r="BO77" s="43" t="s">
        <v>322</v>
      </c>
      <c r="BP77" s="43" t="s">
        <v>321</v>
      </c>
      <c r="BQ77" s="43" t="s">
        <v>322</v>
      </c>
      <c r="BR77" s="43" t="s">
        <v>321</v>
      </c>
      <c r="BS77" s="43" t="s">
        <v>322</v>
      </c>
    </row>
    <row r="78" spans="1:71" x14ac:dyDescent="0.25">
      <c r="A78" s="21" t="s">
        <v>69</v>
      </c>
      <c r="B78" s="21">
        <v>7977</v>
      </c>
      <c r="C78" s="21">
        <v>13566</v>
      </c>
      <c r="D78" s="21">
        <v>187456</v>
      </c>
      <c r="E78" s="21">
        <v>506201</v>
      </c>
      <c r="F78" s="21">
        <v>1715</v>
      </c>
      <c r="G78" s="21">
        <v>67444</v>
      </c>
      <c r="H78" s="21">
        <v>982979</v>
      </c>
      <c r="I78" s="21">
        <v>2492849</v>
      </c>
      <c r="J78" s="123">
        <v>2097858</v>
      </c>
      <c r="K78" s="123">
        <v>8299677</v>
      </c>
      <c r="L78" s="21">
        <v>502906</v>
      </c>
      <c r="M78" s="21">
        <v>1759066</v>
      </c>
      <c r="N78" s="21">
        <v>917347</v>
      </c>
      <c r="O78" s="21">
        <v>2732457</v>
      </c>
      <c r="P78" s="21">
        <v>159791</v>
      </c>
      <c r="Q78" s="21">
        <v>562234</v>
      </c>
      <c r="R78" s="21">
        <v>28298</v>
      </c>
      <c r="S78" s="21">
        <v>328323</v>
      </c>
      <c r="T78" s="21">
        <v>14214</v>
      </c>
      <c r="U78" s="21">
        <v>24448</v>
      </c>
      <c r="V78" s="21">
        <v>35868.43</v>
      </c>
      <c r="W78" s="21">
        <v>70815.740000000005</v>
      </c>
      <c r="X78" s="21">
        <v>438712</v>
      </c>
      <c r="Y78" s="21">
        <v>1483965</v>
      </c>
      <c r="Z78" s="21">
        <v>115688</v>
      </c>
      <c r="AA78" s="21">
        <v>292732</v>
      </c>
      <c r="AB78" s="21">
        <v>1769278</v>
      </c>
      <c r="AC78" s="21">
        <v>6558658</v>
      </c>
      <c r="AD78" s="21">
        <v>2964460</v>
      </c>
      <c r="AE78" s="21">
        <v>11094613</v>
      </c>
      <c r="AF78" s="21">
        <v>1401245</v>
      </c>
      <c r="AG78" s="21">
        <v>4888637</v>
      </c>
      <c r="AH78" s="21">
        <v>86921</v>
      </c>
      <c r="AI78" s="21">
        <v>275236</v>
      </c>
      <c r="AJ78" s="21">
        <v>375837</v>
      </c>
      <c r="AK78" s="21">
        <v>1241347</v>
      </c>
      <c r="AL78" s="21">
        <v>215076</v>
      </c>
      <c r="AM78" s="21">
        <v>609674</v>
      </c>
      <c r="AN78" s="21">
        <v>423091</v>
      </c>
      <c r="AO78" s="21">
        <v>1116605</v>
      </c>
      <c r="AP78" s="21">
        <v>3178220.4880000008</v>
      </c>
      <c r="AQ78" s="21">
        <v>10410682.357000001</v>
      </c>
      <c r="AR78" s="21">
        <v>6605265</v>
      </c>
      <c r="AS78" s="21">
        <v>23000645</v>
      </c>
      <c r="AT78" s="21">
        <v>2462132</v>
      </c>
      <c r="AU78" s="21">
        <v>8354206</v>
      </c>
      <c r="AV78" s="21">
        <v>20894</v>
      </c>
      <c r="AW78" s="21">
        <v>71650</v>
      </c>
      <c r="AX78" s="21">
        <v>618837</v>
      </c>
      <c r="AY78" s="21">
        <v>3501179</v>
      </c>
      <c r="AZ78" s="21">
        <v>1996</v>
      </c>
      <c r="BA78" s="21">
        <v>2103</v>
      </c>
      <c r="BB78" s="21">
        <v>677250</v>
      </c>
      <c r="BC78" s="21">
        <v>2078986</v>
      </c>
      <c r="BD78" s="21">
        <v>649620</v>
      </c>
      <c r="BE78" s="21">
        <v>2525290</v>
      </c>
      <c r="BF78" s="21">
        <v>1229386</v>
      </c>
      <c r="BG78" s="21">
        <v>3821869</v>
      </c>
      <c r="BH78" s="21">
        <v>296215</v>
      </c>
      <c r="BI78" s="21">
        <v>965042</v>
      </c>
      <c r="BJ78" s="21">
        <v>2892657</v>
      </c>
      <c r="BK78" s="21">
        <v>7387207</v>
      </c>
      <c r="BL78" s="21">
        <v>1632616</v>
      </c>
      <c r="BM78" s="21">
        <v>6506201</v>
      </c>
      <c r="BN78" s="143">
        <v>2908479</v>
      </c>
      <c r="BO78" s="143">
        <v>8649243</v>
      </c>
      <c r="BP78" s="21">
        <v>336913</v>
      </c>
      <c r="BQ78" s="21">
        <v>1112954</v>
      </c>
      <c r="BR78" s="21">
        <f t="shared" ref="BR78:BS81" si="15">B78+D78+F78+H78+J78+L78+N78+P78+R78+T78+V78+X78+Z78+AB78+AD78+AF78+AH78+AJ78+AL78+AN78+AP78+AR78+AT78+AV78+AX78+BB78+BD78+BF78+BH78+BJ78+BL78+BN78+BP78</f>
        <v>36235201.917999998</v>
      </c>
      <c r="BS78" s="21">
        <f t="shared" si="15"/>
        <v>122803702.097</v>
      </c>
    </row>
    <row r="79" spans="1:71" x14ac:dyDescent="0.25">
      <c r="A79" s="21" t="s">
        <v>70</v>
      </c>
      <c r="B79" s="21"/>
      <c r="C79" s="21"/>
      <c r="D79" s="21"/>
      <c r="E79" s="21"/>
      <c r="F79" s="21">
        <v>983</v>
      </c>
      <c r="G79" s="21">
        <v>14437</v>
      </c>
      <c r="H79" s="21"/>
      <c r="I79" s="21"/>
      <c r="J79" s="124">
        <v>8983</v>
      </c>
      <c r="K79" s="124">
        <v>31984</v>
      </c>
      <c r="L79" s="21">
        <v>1647</v>
      </c>
      <c r="M79" s="21">
        <v>15919</v>
      </c>
      <c r="N79" s="21">
        <v>330</v>
      </c>
      <c r="O79" s="21">
        <v>1600</v>
      </c>
      <c r="P79" s="21"/>
      <c r="Q79" s="21"/>
      <c r="R79" s="21">
        <v>123</v>
      </c>
      <c r="S79" s="21">
        <v>482</v>
      </c>
      <c r="T79" s="21">
        <v>3345</v>
      </c>
      <c r="U79" s="21">
        <v>13754</v>
      </c>
      <c r="V79" s="21"/>
      <c r="W79" s="21"/>
      <c r="X79" s="21">
        <v>3041</v>
      </c>
      <c r="Y79" s="21">
        <v>4905</v>
      </c>
      <c r="Z79" s="21">
        <v>96966</v>
      </c>
      <c r="AA79" s="21">
        <v>183466</v>
      </c>
      <c r="AB79" s="21">
        <v>12010</v>
      </c>
      <c r="AC79" s="21">
        <v>69975</v>
      </c>
      <c r="AD79" s="21">
        <v>62404</v>
      </c>
      <c r="AE79" s="21">
        <v>264542</v>
      </c>
      <c r="AF79" s="21">
        <v>32304</v>
      </c>
      <c r="AG79" s="21">
        <v>52909</v>
      </c>
      <c r="AH79" s="21">
        <v>84</v>
      </c>
      <c r="AI79" s="21">
        <v>408</v>
      </c>
      <c r="AJ79" s="21">
        <v>176</v>
      </c>
      <c r="AK79" s="21">
        <v>815</v>
      </c>
      <c r="AL79" s="21">
        <v>6858</v>
      </c>
      <c r="AM79" s="21">
        <v>30445</v>
      </c>
      <c r="AN79" s="21"/>
      <c r="AO79" s="21"/>
      <c r="AP79" s="21">
        <v>170343.96400000001</v>
      </c>
      <c r="AQ79" s="21">
        <v>356899.71600000001</v>
      </c>
      <c r="AR79" s="21">
        <v>822963</v>
      </c>
      <c r="AS79" s="21">
        <v>2188551</v>
      </c>
      <c r="AT79" s="21">
        <v>93431</v>
      </c>
      <c r="AU79" s="21">
        <v>613252</v>
      </c>
      <c r="AV79" s="21">
        <v>7890</v>
      </c>
      <c r="AW79" s="21">
        <v>27244</v>
      </c>
      <c r="AX79" s="21">
        <v>3553</v>
      </c>
      <c r="AY79" s="21">
        <v>19926</v>
      </c>
      <c r="AZ79" s="21"/>
      <c r="BA79" s="21"/>
      <c r="BB79" s="21">
        <v>1013</v>
      </c>
      <c r="BC79" s="21">
        <v>21443</v>
      </c>
      <c r="BD79" s="21">
        <v>10218</v>
      </c>
      <c r="BE79" s="21">
        <v>24888</v>
      </c>
      <c r="BF79" s="21">
        <v>1067</v>
      </c>
      <c r="BG79" s="21">
        <v>5783</v>
      </c>
      <c r="BH79" s="21">
        <v>1204</v>
      </c>
      <c r="BI79" s="21">
        <v>7047</v>
      </c>
      <c r="BJ79" s="21"/>
      <c r="BK79" s="21"/>
      <c r="BL79" s="21">
        <v>22184</v>
      </c>
      <c r="BM79" s="21">
        <v>113136</v>
      </c>
      <c r="BN79" s="143">
        <v>56227</v>
      </c>
      <c r="BO79" s="143">
        <v>339254</v>
      </c>
      <c r="BP79" s="21">
        <v>614</v>
      </c>
      <c r="BQ79" s="21">
        <v>3065</v>
      </c>
      <c r="BR79" s="21">
        <f t="shared" si="15"/>
        <v>1419961.9640000002</v>
      </c>
      <c r="BS79" s="21">
        <f t="shared" si="15"/>
        <v>4406129.716</v>
      </c>
    </row>
    <row r="80" spans="1:71" x14ac:dyDescent="0.25">
      <c r="A80" s="21" t="s">
        <v>71</v>
      </c>
      <c r="B80" s="21">
        <v>7134</v>
      </c>
      <c r="C80" s="21">
        <v>38240</v>
      </c>
      <c r="D80" s="21">
        <v>11409</v>
      </c>
      <c r="E80" s="21">
        <v>31688</v>
      </c>
      <c r="F80" s="21">
        <v>894400</v>
      </c>
      <c r="G80" s="21">
        <v>2715199</v>
      </c>
      <c r="H80" s="21">
        <v>68187</v>
      </c>
      <c r="I80" s="21">
        <v>1123096</v>
      </c>
      <c r="J80" s="123">
        <v>1822213</v>
      </c>
      <c r="K80" s="123">
        <v>4584510</v>
      </c>
      <c r="L80" s="21">
        <v>517273</v>
      </c>
      <c r="M80" s="21">
        <v>1240503</v>
      </c>
      <c r="N80" s="21">
        <v>731707</v>
      </c>
      <c r="O80" s="21">
        <v>2606822</v>
      </c>
      <c r="P80" s="21">
        <v>35827</v>
      </c>
      <c r="Q80" s="21">
        <v>66039</v>
      </c>
      <c r="R80" s="21">
        <v>-315426</v>
      </c>
      <c r="S80" s="21">
        <v>-729339</v>
      </c>
      <c r="T80" s="21">
        <v>40557</v>
      </c>
      <c r="U80" s="21">
        <v>142051</v>
      </c>
      <c r="V80" s="21">
        <v>192890.22</v>
      </c>
      <c r="W80" s="21">
        <v>586420.72</v>
      </c>
      <c r="X80" s="21">
        <v>259506</v>
      </c>
      <c r="Y80" s="21">
        <v>754045</v>
      </c>
      <c r="Z80" s="21">
        <v>133371</v>
      </c>
      <c r="AA80" s="21">
        <v>302513</v>
      </c>
      <c r="AB80" s="21">
        <v>-1868594</v>
      </c>
      <c r="AC80" s="21">
        <v>-8154588</v>
      </c>
      <c r="AD80" s="21">
        <v>2395269</v>
      </c>
      <c r="AE80" s="21">
        <v>9130103</v>
      </c>
      <c r="AF80" s="21">
        <v>857038</v>
      </c>
      <c r="AG80" s="21">
        <v>2804660</v>
      </c>
      <c r="AH80" s="21">
        <v>29078</v>
      </c>
      <c r="AI80" s="21">
        <v>76398</v>
      </c>
      <c r="AJ80" s="21">
        <v>18847</v>
      </c>
      <c r="AK80" s="21">
        <v>129437</v>
      </c>
      <c r="AL80" s="21">
        <v>-367890</v>
      </c>
      <c r="AM80" s="21">
        <v>-929543</v>
      </c>
      <c r="AN80" s="21">
        <v>222704</v>
      </c>
      <c r="AO80" s="21">
        <v>808105</v>
      </c>
      <c r="AP80" s="21">
        <v>-407350.04099999997</v>
      </c>
      <c r="AQ80" s="21">
        <v>2595276.182</v>
      </c>
      <c r="AR80" s="21">
        <v>472825</v>
      </c>
      <c r="AS80" s="21">
        <v>3199409</v>
      </c>
      <c r="AT80" s="21">
        <v>428973</v>
      </c>
      <c r="AU80" s="21">
        <v>2382033</v>
      </c>
      <c r="AV80" s="21">
        <v>9601</v>
      </c>
      <c r="AW80" s="21">
        <v>24302</v>
      </c>
      <c r="AX80" s="21">
        <v>723757</v>
      </c>
      <c r="AY80" s="21">
        <v>3639168</v>
      </c>
      <c r="AZ80" s="21">
        <v>5580</v>
      </c>
      <c r="BA80" s="21">
        <v>5621</v>
      </c>
      <c r="BB80" s="21">
        <v>776712</v>
      </c>
      <c r="BC80" s="21">
        <v>2414622</v>
      </c>
      <c r="BD80" s="21">
        <v>-336090</v>
      </c>
      <c r="BE80" s="21">
        <v>-1704725</v>
      </c>
      <c r="BF80" s="21">
        <v>651153</v>
      </c>
      <c r="BG80" s="21">
        <v>3914155</v>
      </c>
      <c r="BH80" s="21">
        <v>44821</v>
      </c>
      <c r="BI80" s="21">
        <v>161364</v>
      </c>
      <c r="BJ80" s="21">
        <v>2780889</v>
      </c>
      <c r="BK80" s="21">
        <v>4818092</v>
      </c>
      <c r="BL80" s="21">
        <v>1748907</v>
      </c>
      <c r="BM80" s="21">
        <v>6338765</v>
      </c>
      <c r="BN80" s="143">
        <v>593926</v>
      </c>
      <c r="BO80" s="143">
        <v>1661469</v>
      </c>
      <c r="BP80" s="21">
        <v>112176</v>
      </c>
      <c r="BQ80" s="21">
        <v>451803</v>
      </c>
      <c r="BR80" s="21">
        <f t="shared" si="15"/>
        <v>13285800.179000001</v>
      </c>
      <c r="BS80" s="21">
        <f t="shared" si="15"/>
        <v>47222092.901999995</v>
      </c>
    </row>
    <row r="81" spans="1:71" x14ac:dyDescent="0.25">
      <c r="A81" s="21" t="s">
        <v>72</v>
      </c>
      <c r="B81" s="21">
        <v>843</v>
      </c>
      <c r="C81" s="21">
        <v>-24674</v>
      </c>
      <c r="D81" s="21">
        <v>176047</v>
      </c>
      <c r="E81" s="21">
        <v>474513</v>
      </c>
      <c r="F81" s="21">
        <v>-891702</v>
      </c>
      <c r="G81" s="21">
        <v>-2633318</v>
      </c>
      <c r="H81" s="21">
        <v>914792</v>
      </c>
      <c r="I81" s="21">
        <v>1369753</v>
      </c>
      <c r="J81" s="123">
        <v>284628</v>
      </c>
      <c r="K81" s="123">
        <v>3747151</v>
      </c>
      <c r="L81" s="21">
        <v>-12720</v>
      </c>
      <c r="M81" s="21">
        <v>534482</v>
      </c>
      <c r="N81" s="21">
        <v>185970</v>
      </c>
      <c r="O81" s="21">
        <v>127235</v>
      </c>
      <c r="P81" s="21">
        <v>123965</v>
      </c>
      <c r="Q81" s="21">
        <v>496194</v>
      </c>
      <c r="R81" s="21">
        <v>-287005</v>
      </c>
      <c r="S81" s="21">
        <v>-400534</v>
      </c>
      <c r="T81" s="21">
        <v>-22998</v>
      </c>
      <c r="U81" s="21">
        <v>-103849</v>
      </c>
      <c r="V81" s="21">
        <v>-157021.79</v>
      </c>
      <c r="W81" s="21">
        <v>-515604.98</v>
      </c>
      <c r="X81" s="21">
        <v>182247</v>
      </c>
      <c r="Y81" s="21">
        <v>734825</v>
      </c>
      <c r="Z81" s="21">
        <v>79283</v>
      </c>
      <c r="AA81" s="21">
        <v>173685</v>
      </c>
      <c r="AB81" s="21">
        <v>-87307</v>
      </c>
      <c r="AC81" s="21">
        <v>-1525955</v>
      </c>
      <c r="AD81" s="21">
        <v>631595</v>
      </c>
      <c r="AE81" s="21">
        <v>2229052</v>
      </c>
      <c r="AF81" s="21">
        <v>576511</v>
      </c>
      <c r="AG81" s="21">
        <v>2136886</v>
      </c>
      <c r="AH81" s="21">
        <v>57927</v>
      </c>
      <c r="AI81" s="21">
        <v>199246</v>
      </c>
      <c r="AJ81" s="21">
        <v>357166</v>
      </c>
      <c r="AK81" s="21">
        <v>1112725</v>
      </c>
      <c r="AL81" s="21">
        <v>-145956</v>
      </c>
      <c r="AM81" s="21">
        <v>-289424</v>
      </c>
      <c r="AN81" s="21">
        <v>200387</v>
      </c>
      <c r="AO81" s="21">
        <v>308500</v>
      </c>
      <c r="AP81" s="21">
        <v>3755914.4930000007</v>
      </c>
      <c r="AQ81" s="21">
        <v>8172305.8910000008</v>
      </c>
      <c r="AR81" s="21">
        <v>6955403</v>
      </c>
      <c r="AS81" s="21">
        <v>21989788</v>
      </c>
      <c r="AT81" s="21">
        <v>2126590</v>
      </c>
      <c r="AU81" s="21">
        <v>6585425</v>
      </c>
      <c r="AV81" s="21">
        <v>19182</v>
      </c>
      <c r="AW81" s="21">
        <v>74594</v>
      </c>
      <c r="AX81" s="21">
        <v>-101367</v>
      </c>
      <c r="AY81" s="21">
        <v>-118063</v>
      </c>
      <c r="AZ81" s="21">
        <v>-3584</v>
      </c>
      <c r="BA81" s="21">
        <v>-3518</v>
      </c>
      <c r="BB81" s="21">
        <v>-98449</v>
      </c>
      <c r="BC81" s="21">
        <v>-314193</v>
      </c>
      <c r="BD81" s="21">
        <v>323748</v>
      </c>
      <c r="BE81" s="21">
        <v>845453</v>
      </c>
      <c r="BF81" s="21">
        <v>579300</v>
      </c>
      <c r="BG81" s="21">
        <v>-86503</v>
      </c>
      <c r="BH81" s="21">
        <v>252599</v>
      </c>
      <c r="BI81" s="21">
        <v>810725</v>
      </c>
      <c r="BJ81" s="21">
        <v>111768</v>
      </c>
      <c r="BK81" s="21">
        <v>2569115</v>
      </c>
      <c r="BL81" s="21">
        <v>-94107</v>
      </c>
      <c r="BM81" s="21">
        <v>280572</v>
      </c>
      <c r="BN81" s="143">
        <v>2370780</v>
      </c>
      <c r="BO81" s="143">
        <v>7327028</v>
      </c>
      <c r="BP81" s="21">
        <v>225351</v>
      </c>
      <c r="BQ81" s="21">
        <v>664216</v>
      </c>
      <c r="BR81" s="21">
        <f t="shared" si="15"/>
        <v>18593363.703000002</v>
      </c>
      <c r="BS81" s="21">
        <f t="shared" si="15"/>
        <v>56951350.910999998</v>
      </c>
    </row>
  </sheetData>
  <mergeCells count="350">
    <mergeCell ref="BF60:BG60"/>
    <mergeCell ref="BH60:BI60"/>
    <mergeCell ref="BJ60:BK60"/>
    <mergeCell ref="BL60:BM60"/>
    <mergeCell ref="BP60:BQ60"/>
    <mergeCell ref="BP44:BQ44"/>
    <mergeCell ref="BD44:BE44"/>
    <mergeCell ref="BF44:BG44"/>
    <mergeCell ref="BH44:BI44"/>
    <mergeCell ref="BJ44:BK44"/>
    <mergeCell ref="BL44:BM44"/>
    <mergeCell ref="BN44:BO44"/>
    <mergeCell ref="BN52:BO52"/>
    <mergeCell ref="BP52:BQ52"/>
    <mergeCell ref="BL52:BM52"/>
    <mergeCell ref="BN60:BO60"/>
    <mergeCell ref="BF52:BG52"/>
    <mergeCell ref="BH52:BI52"/>
    <mergeCell ref="BJ52:BK52"/>
    <mergeCell ref="AN60:AO60"/>
    <mergeCell ref="AP60:AQ60"/>
    <mergeCell ref="AR60:AS60"/>
    <mergeCell ref="AT60:AU60"/>
    <mergeCell ref="AV60:AW60"/>
    <mergeCell ref="AX60:AY60"/>
    <mergeCell ref="BB60:BC60"/>
    <mergeCell ref="BD60:BE60"/>
    <mergeCell ref="AZ60:BA60"/>
    <mergeCell ref="V60:W60"/>
    <mergeCell ref="X60:Y60"/>
    <mergeCell ref="Z60:AA60"/>
    <mergeCell ref="AB60:AC60"/>
    <mergeCell ref="AD60:AE60"/>
    <mergeCell ref="AF60:AG60"/>
    <mergeCell ref="AH60:AI60"/>
    <mergeCell ref="AJ60:AK60"/>
    <mergeCell ref="AL60:AM60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R4:BS4"/>
    <mergeCell ref="BR12:BS12"/>
    <mergeCell ref="BR20:BS20"/>
    <mergeCell ref="BR28:BS28"/>
    <mergeCell ref="BR36:BS36"/>
    <mergeCell ref="BR44:BS44"/>
    <mergeCell ref="BR52:BS52"/>
    <mergeCell ref="BR68:BS68"/>
    <mergeCell ref="BR76:BS76"/>
    <mergeCell ref="BR60:BS60"/>
    <mergeCell ref="B4:C4"/>
    <mergeCell ref="D4:E4"/>
    <mergeCell ref="F4:G4"/>
    <mergeCell ref="H4:I4"/>
    <mergeCell ref="J4:K4"/>
    <mergeCell ref="L4:M4"/>
    <mergeCell ref="AD4:AE4"/>
    <mergeCell ref="AH4:AI4"/>
    <mergeCell ref="AJ4:AK4"/>
    <mergeCell ref="AF4:AG4"/>
    <mergeCell ref="N4:O4"/>
    <mergeCell ref="P4:Q4"/>
    <mergeCell ref="R4:S4"/>
    <mergeCell ref="T4:U4"/>
    <mergeCell ref="V4:W4"/>
    <mergeCell ref="X4:Y4"/>
    <mergeCell ref="BP4:BQ4"/>
    <mergeCell ref="BD4:BE4"/>
    <mergeCell ref="BF4:BG4"/>
    <mergeCell ref="BH4:BI4"/>
    <mergeCell ref="BJ4:BK4"/>
    <mergeCell ref="BL4:BM4"/>
    <mergeCell ref="AZ4:BA4"/>
    <mergeCell ref="BB4:BC4"/>
    <mergeCell ref="AN4:AO4"/>
    <mergeCell ref="AP4:AQ4"/>
    <mergeCell ref="AR4:AS4"/>
    <mergeCell ref="AT4:AU4"/>
    <mergeCell ref="AV4:AW4"/>
    <mergeCell ref="AX4:AY4"/>
    <mergeCell ref="AZ12:BA12"/>
    <mergeCell ref="AT12:AU12"/>
    <mergeCell ref="AV12:AW12"/>
    <mergeCell ref="AX12:AY12"/>
    <mergeCell ref="AL4:AM4"/>
    <mergeCell ref="X12:Y12"/>
    <mergeCell ref="Z12:AA12"/>
    <mergeCell ref="AB12:AC12"/>
    <mergeCell ref="BN4:BO4"/>
    <mergeCell ref="Z4:AA4"/>
    <mergeCell ref="AB4:AC4"/>
    <mergeCell ref="BN12:BO12"/>
    <mergeCell ref="AN12:AO12"/>
    <mergeCell ref="R12:S12"/>
    <mergeCell ref="T12:U12"/>
    <mergeCell ref="V12:W12"/>
    <mergeCell ref="D12:E12"/>
    <mergeCell ref="F12:G12"/>
    <mergeCell ref="H12:I12"/>
    <mergeCell ref="J12:K12"/>
    <mergeCell ref="L12:M12"/>
    <mergeCell ref="N12:O12"/>
    <mergeCell ref="P12:Q12"/>
    <mergeCell ref="BP12:BQ12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D12:BE12"/>
    <mergeCell ref="BF12:BG12"/>
    <mergeCell ref="BH12:BI12"/>
    <mergeCell ref="BJ12:BK12"/>
    <mergeCell ref="BL12:BM12"/>
    <mergeCell ref="AP12:AQ12"/>
    <mergeCell ref="AR12:AS12"/>
    <mergeCell ref="B12:C12"/>
    <mergeCell ref="BB12:BC12"/>
    <mergeCell ref="AD12:AE12"/>
    <mergeCell ref="AF12:AG12"/>
    <mergeCell ref="AH12:AI12"/>
    <mergeCell ref="AJ12:AK12"/>
    <mergeCell ref="AL12:AM12"/>
    <mergeCell ref="BP20:BQ20"/>
    <mergeCell ref="AR20:AS20"/>
    <mergeCell ref="AT20:AU20"/>
    <mergeCell ref="AV20:AW20"/>
    <mergeCell ref="AX20:AY20"/>
    <mergeCell ref="BB20:BC20"/>
    <mergeCell ref="BD20:BE20"/>
    <mergeCell ref="BL20:BM20"/>
    <mergeCell ref="BN20:BO20"/>
    <mergeCell ref="BF20:BG20"/>
    <mergeCell ref="BH20:BI20"/>
    <mergeCell ref="BJ20:BK20"/>
    <mergeCell ref="B28:C28"/>
    <mergeCell ref="D28:E28"/>
    <mergeCell ref="F28:G28"/>
    <mergeCell ref="H28:I28"/>
    <mergeCell ref="J28:K28"/>
    <mergeCell ref="L28:M28"/>
    <mergeCell ref="BL28:BM28"/>
    <mergeCell ref="T20:U20"/>
    <mergeCell ref="AD28:AE28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AL20:AM20"/>
    <mergeCell ref="AN20:AO20"/>
    <mergeCell ref="BB28:BC28"/>
    <mergeCell ref="AL28:AM28"/>
    <mergeCell ref="AN28:AO28"/>
    <mergeCell ref="AP28:AQ28"/>
    <mergeCell ref="AR28:AS28"/>
    <mergeCell ref="AT28:AU28"/>
    <mergeCell ref="AV28:AW28"/>
    <mergeCell ref="AJ28:AK28"/>
    <mergeCell ref="AP20:AQ20"/>
    <mergeCell ref="AZ20:BA20"/>
    <mergeCell ref="AZ28:BA28"/>
    <mergeCell ref="AF28:AG28"/>
    <mergeCell ref="AH28:AI28"/>
    <mergeCell ref="N28:O28"/>
    <mergeCell ref="P28:Q28"/>
    <mergeCell ref="R28:S28"/>
    <mergeCell ref="T28:U28"/>
    <mergeCell ref="V28:W28"/>
    <mergeCell ref="X28:Y28"/>
    <mergeCell ref="Z28:AA28"/>
    <mergeCell ref="AB28:AC28"/>
    <mergeCell ref="AX28:AY28"/>
    <mergeCell ref="BP28:BQ28"/>
    <mergeCell ref="BD28:BE28"/>
    <mergeCell ref="BF28:BG28"/>
    <mergeCell ref="BH28:BI28"/>
    <mergeCell ref="BJ28:BK28"/>
    <mergeCell ref="BN36:BO36"/>
    <mergeCell ref="BP36:BQ36"/>
    <mergeCell ref="BD36:BE36"/>
    <mergeCell ref="BF36:BG36"/>
    <mergeCell ref="BH36:BI36"/>
    <mergeCell ref="BJ36:BK36"/>
    <mergeCell ref="BL36:BM36"/>
    <mergeCell ref="BN28:BO28"/>
    <mergeCell ref="AH36:AI36"/>
    <mergeCell ref="AB44:AC44"/>
    <mergeCell ref="AD44:AE44"/>
    <mergeCell ref="AF44:AG44"/>
    <mergeCell ref="BB44:BC44"/>
    <mergeCell ref="AX36:AY36"/>
    <mergeCell ref="AZ36:BA36"/>
    <mergeCell ref="X36:Y36"/>
    <mergeCell ref="Z36:AA36"/>
    <mergeCell ref="BB36:BC36"/>
    <mergeCell ref="AN36:AO36"/>
    <mergeCell ref="AP36:AQ36"/>
    <mergeCell ref="AR36:AS36"/>
    <mergeCell ref="AP44:AQ44"/>
    <mergeCell ref="AR44:AS44"/>
    <mergeCell ref="AT44:AU44"/>
    <mergeCell ref="AT36:AU36"/>
    <mergeCell ref="AV36:AW36"/>
    <mergeCell ref="AB36:AC36"/>
    <mergeCell ref="AD36:AE36"/>
    <mergeCell ref="AH44:AI44"/>
    <mergeCell ref="AJ36:AK36"/>
    <mergeCell ref="AL36:AM36"/>
    <mergeCell ref="AF36:AG36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R44:S44"/>
    <mergeCell ref="T44:U44"/>
    <mergeCell ref="V44:W44"/>
    <mergeCell ref="X44:Y44"/>
    <mergeCell ref="Z44:AA44"/>
    <mergeCell ref="B44:C44"/>
    <mergeCell ref="D44:E44"/>
    <mergeCell ref="F44:G44"/>
    <mergeCell ref="P36:Q36"/>
    <mergeCell ref="R36:S36"/>
    <mergeCell ref="H44:I44"/>
    <mergeCell ref="J44:K44"/>
    <mergeCell ref="L44:M44"/>
    <mergeCell ref="N44:O44"/>
    <mergeCell ref="P44:Q44"/>
    <mergeCell ref="B36:C36"/>
    <mergeCell ref="D36:E36"/>
    <mergeCell ref="F36:G36"/>
    <mergeCell ref="H36:I36"/>
    <mergeCell ref="J36:K36"/>
    <mergeCell ref="L36:M36"/>
    <mergeCell ref="N36:O36"/>
    <mergeCell ref="T36:U36"/>
    <mergeCell ref="V36:W36"/>
    <mergeCell ref="AR52:AS52"/>
    <mergeCell ref="AT52:AU52"/>
    <mergeCell ref="AV52:AW52"/>
    <mergeCell ref="AX52:AY52"/>
    <mergeCell ref="AD52:AE52"/>
    <mergeCell ref="AV44:AW44"/>
    <mergeCell ref="AX44:AY44"/>
    <mergeCell ref="BB52:BC52"/>
    <mergeCell ref="BD52:BE52"/>
    <mergeCell ref="AJ44:AK44"/>
    <mergeCell ref="AL44:AM44"/>
    <mergeCell ref="AN44:AO44"/>
    <mergeCell ref="AZ44:BA44"/>
    <mergeCell ref="AZ52:BA52"/>
    <mergeCell ref="AL52:AM52"/>
    <mergeCell ref="AN52:AO52"/>
    <mergeCell ref="AP52:AQ52"/>
    <mergeCell ref="D68:E68"/>
    <mergeCell ref="F68:G68"/>
    <mergeCell ref="H68:I68"/>
    <mergeCell ref="J68:K68"/>
    <mergeCell ref="L68:M68"/>
    <mergeCell ref="AF52:AG52"/>
    <mergeCell ref="AH52:AI52"/>
    <mergeCell ref="AJ52:AK52"/>
    <mergeCell ref="T52:U52"/>
    <mergeCell ref="V52:W52"/>
    <mergeCell ref="X52:Y52"/>
    <mergeCell ref="Z52:AA52"/>
    <mergeCell ref="AB52:AC52"/>
    <mergeCell ref="AD68:AE68"/>
    <mergeCell ref="AF68:AG68"/>
    <mergeCell ref="AH68:AI68"/>
    <mergeCell ref="AJ68:AK68"/>
    <mergeCell ref="N68:O68"/>
    <mergeCell ref="P68:Q68"/>
    <mergeCell ref="R68:S68"/>
    <mergeCell ref="T68:U68"/>
    <mergeCell ref="V68:W68"/>
    <mergeCell ref="X68:Y68"/>
    <mergeCell ref="T60:U60"/>
    <mergeCell ref="BL68:BM68"/>
    <mergeCell ref="BN68:BO68"/>
    <mergeCell ref="AZ68:BA68"/>
    <mergeCell ref="BP68:BQ68"/>
    <mergeCell ref="B76:C76"/>
    <mergeCell ref="D76:E76"/>
    <mergeCell ref="F76:G76"/>
    <mergeCell ref="H76:I76"/>
    <mergeCell ref="J76:K76"/>
    <mergeCell ref="L76:M76"/>
    <mergeCell ref="N76:O76"/>
    <mergeCell ref="AX68:AY68"/>
    <mergeCell ref="BB68:BC68"/>
    <mergeCell ref="BD68:BE68"/>
    <mergeCell ref="BF68:BG68"/>
    <mergeCell ref="BH68:BI68"/>
    <mergeCell ref="BJ68:BK68"/>
    <mergeCell ref="AL68:AM68"/>
    <mergeCell ref="AN68:AO68"/>
    <mergeCell ref="AP68:AQ68"/>
    <mergeCell ref="AR68:AS68"/>
    <mergeCell ref="AT68:AU68"/>
    <mergeCell ref="AV68:AW68"/>
    <mergeCell ref="B68:C68"/>
    <mergeCell ref="Z68:AA68"/>
    <mergeCell ref="AB76:AC76"/>
    <mergeCell ref="AD76:AE76"/>
    <mergeCell ref="AF76:AG76"/>
    <mergeCell ref="AH76:AI76"/>
    <mergeCell ref="AJ76:AK76"/>
    <mergeCell ref="AL76:AM76"/>
    <mergeCell ref="P76:Q76"/>
    <mergeCell ref="R76:S76"/>
    <mergeCell ref="T76:U76"/>
    <mergeCell ref="V76:W76"/>
    <mergeCell ref="X76:Y76"/>
    <mergeCell ref="Z76:AA76"/>
    <mergeCell ref="AB68:AC68"/>
    <mergeCell ref="BN76:BO76"/>
    <mergeCell ref="BP76:BQ76"/>
    <mergeCell ref="BB76:BC76"/>
    <mergeCell ref="BD76:BE76"/>
    <mergeCell ref="BF76:BG76"/>
    <mergeCell ref="BH76:BI76"/>
    <mergeCell ref="BJ76:BK76"/>
    <mergeCell ref="BL76:BM76"/>
    <mergeCell ref="AN76:AO76"/>
    <mergeCell ref="AP76:AQ76"/>
    <mergeCell ref="AR76:AS76"/>
    <mergeCell ref="AT76:AU76"/>
    <mergeCell ref="AV76:AW76"/>
    <mergeCell ref="AX76:AY76"/>
    <mergeCell ref="AZ76:BA7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6"/>
  <sheetViews>
    <sheetView workbookViewId="0">
      <pane xSplit="1" ySplit="3" topLeftCell="B4" activePane="bottomRight" state="frozen"/>
      <selection activeCell="F11" sqref="F11"/>
      <selection pane="topRight" activeCell="F11" sqref="F11"/>
      <selection pane="bottomLeft" activeCell="F11" sqref="F11"/>
      <selection pane="bottomRight" activeCell="B2" sqref="B2"/>
    </sheetView>
  </sheetViews>
  <sheetFormatPr defaultRowHeight="15" x14ac:dyDescent="0.25"/>
  <cols>
    <col min="1" max="1" width="46.140625" style="6" customWidth="1"/>
    <col min="2" max="9" width="14.7109375" style="4" customWidth="1"/>
    <col min="10" max="11" width="14.7109375" style="10" customWidth="1"/>
    <col min="12" max="71" width="14.7109375" style="4" customWidth="1"/>
    <col min="72" max="16384" width="9.140625" style="4"/>
  </cols>
  <sheetData>
    <row r="1" spans="1:71" ht="18.75" x14ac:dyDescent="0.3">
      <c r="A1" s="27" t="s">
        <v>236</v>
      </c>
    </row>
    <row r="2" spans="1:71" x14ac:dyDescent="0.25">
      <c r="A2" s="6" t="s">
        <v>43</v>
      </c>
    </row>
    <row r="3" spans="1:71" s="15" customFormat="1" x14ac:dyDescent="0.25">
      <c r="A3" s="23" t="s">
        <v>0</v>
      </c>
      <c r="B3" s="200" t="s">
        <v>1</v>
      </c>
      <c r="C3" s="200"/>
      <c r="D3" s="200" t="s">
        <v>2</v>
      </c>
      <c r="E3" s="200"/>
      <c r="F3" s="200" t="s">
        <v>3</v>
      </c>
      <c r="G3" s="200"/>
      <c r="H3" s="200" t="s">
        <v>4</v>
      </c>
      <c r="I3" s="200"/>
      <c r="J3" s="200" t="s">
        <v>5</v>
      </c>
      <c r="K3" s="200"/>
      <c r="L3" s="200" t="s">
        <v>6</v>
      </c>
      <c r="M3" s="200"/>
      <c r="N3" s="200" t="s">
        <v>7</v>
      </c>
      <c r="O3" s="200"/>
      <c r="P3" s="200" t="s">
        <v>8</v>
      </c>
      <c r="Q3" s="200"/>
      <c r="R3" s="200" t="s">
        <v>9</v>
      </c>
      <c r="S3" s="200"/>
      <c r="T3" s="200" t="s">
        <v>10</v>
      </c>
      <c r="U3" s="200"/>
      <c r="V3" s="200" t="s">
        <v>11</v>
      </c>
      <c r="W3" s="200"/>
      <c r="X3" s="200" t="s">
        <v>12</v>
      </c>
      <c r="Y3" s="200"/>
      <c r="Z3" s="200" t="s">
        <v>13</v>
      </c>
      <c r="AA3" s="200"/>
      <c r="AB3" s="200" t="s">
        <v>14</v>
      </c>
      <c r="AC3" s="200"/>
      <c r="AD3" s="200" t="s">
        <v>15</v>
      </c>
      <c r="AE3" s="200"/>
      <c r="AF3" s="200" t="s">
        <v>16</v>
      </c>
      <c r="AG3" s="200"/>
      <c r="AH3" s="200" t="s">
        <v>17</v>
      </c>
      <c r="AI3" s="200"/>
      <c r="AJ3" s="200" t="s">
        <v>18</v>
      </c>
      <c r="AK3" s="200"/>
      <c r="AL3" s="200" t="s">
        <v>19</v>
      </c>
      <c r="AM3" s="200"/>
      <c r="AN3" s="200" t="s">
        <v>20</v>
      </c>
      <c r="AO3" s="200"/>
      <c r="AP3" s="200" t="s">
        <v>21</v>
      </c>
      <c r="AQ3" s="200"/>
      <c r="AR3" s="200" t="s">
        <v>147</v>
      </c>
      <c r="AS3" s="200"/>
      <c r="AT3" s="200" t="s">
        <v>148</v>
      </c>
      <c r="AU3" s="200"/>
      <c r="AV3" s="200" t="s">
        <v>22</v>
      </c>
      <c r="AW3" s="200"/>
      <c r="AX3" s="200" t="s">
        <v>23</v>
      </c>
      <c r="AY3" s="200"/>
      <c r="AZ3" s="200" t="s">
        <v>332</v>
      </c>
      <c r="BA3" s="200"/>
      <c r="BB3" s="200" t="s">
        <v>24</v>
      </c>
      <c r="BC3" s="200"/>
      <c r="BD3" s="200" t="s">
        <v>25</v>
      </c>
      <c r="BE3" s="200"/>
      <c r="BF3" s="200" t="s">
        <v>26</v>
      </c>
      <c r="BG3" s="200"/>
      <c r="BH3" s="200" t="s">
        <v>27</v>
      </c>
      <c r="BI3" s="200"/>
      <c r="BJ3" s="200" t="s">
        <v>28</v>
      </c>
      <c r="BK3" s="200"/>
      <c r="BL3" s="200" t="s">
        <v>29</v>
      </c>
      <c r="BM3" s="200"/>
      <c r="BN3" s="200" t="s">
        <v>30</v>
      </c>
      <c r="BO3" s="200"/>
      <c r="BP3" s="200" t="s">
        <v>31</v>
      </c>
      <c r="BQ3" s="200"/>
      <c r="BR3" s="200" t="s">
        <v>250</v>
      </c>
      <c r="BS3" s="200"/>
    </row>
    <row r="4" spans="1:71" s="42" customFormat="1" ht="44.25" customHeight="1" x14ac:dyDescent="0.25">
      <c r="A4" s="43"/>
      <c r="B4" s="43" t="s">
        <v>321</v>
      </c>
      <c r="C4" s="43" t="s">
        <v>322</v>
      </c>
      <c r="D4" s="43" t="s">
        <v>321</v>
      </c>
      <c r="E4" s="43" t="s">
        <v>322</v>
      </c>
      <c r="F4" s="43" t="s">
        <v>321</v>
      </c>
      <c r="G4" s="43" t="s">
        <v>322</v>
      </c>
      <c r="H4" s="43" t="s">
        <v>321</v>
      </c>
      <c r="I4" s="43" t="s">
        <v>322</v>
      </c>
      <c r="J4" s="43" t="s">
        <v>321</v>
      </c>
      <c r="K4" s="43" t="s">
        <v>322</v>
      </c>
      <c r="L4" s="43" t="s">
        <v>321</v>
      </c>
      <c r="M4" s="43" t="s">
        <v>322</v>
      </c>
      <c r="N4" s="43" t="s">
        <v>321</v>
      </c>
      <c r="O4" s="43" t="s">
        <v>322</v>
      </c>
      <c r="P4" s="43" t="s">
        <v>321</v>
      </c>
      <c r="Q4" s="43" t="s">
        <v>322</v>
      </c>
      <c r="R4" s="43" t="s">
        <v>321</v>
      </c>
      <c r="S4" s="43" t="s">
        <v>322</v>
      </c>
      <c r="T4" s="43" t="s">
        <v>321</v>
      </c>
      <c r="U4" s="43" t="s">
        <v>322</v>
      </c>
      <c r="V4" s="43" t="s">
        <v>321</v>
      </c>
      <c r="W4" s="43" t="s">
        <v>322</v>
      </c>
      <c r="X4" s="43" t="s">
        <v>321</v>
      </c>
      <c r="Y4" s="43" t="s">
        <v>322</v>
      </c>
      <c r="Z4" s="43" t="s">
        <v>321</v>
      </c>
      <c r="AA4" s="43" t="s">
        <v>322</v>
      </c>
      <c r="AB4" s="43" t="s">
        <v>321</v>
      </c>
      <c r="AC4" s="43" t="s">
        <v>322</v>
      </c>
      <c r="AD4" s="43" t="s">
        <v>321</v>
      </c>
      <c r="AE4" s="43" t="s">
        <v>322</v>
      </c>
      <c r="AF4" s="43" t="s">
        <v>321</v>
      </c>
      <c r="AG4" s="43" t="s">
        <v>322</v>
      </c>
      <c r="AH4" s="43" t="s">
        <v>321</v>
      </c>
      <c r="AI4" s="43" t="s">
        <v>322</v>
      </c>
      <c r="AJ4" s="43" t="s">
        <v>321</v>
      </c>
      <c r="AK4" s="43" t="s">
        <v>322</v>
      </c>
      <c r="AL4" s="43" t="s">
        <v>321</v>
      </c>
      <c r="AM4" s="43" t="s">
        <v>322</v>
      </c>
      <c r="AN4" s="43" t="s">
        <v>321</v>
      </c>
      <c r="AO4" s="43" t="s">
        <v>322</v>
      </c>
      <c r="AP4" s="43" t="s">
        <v>321</v>
      </c>
      <c r="AQ4" s="43" t="s">
        <v>322</v>
      </c>
      <c r="AR4" s="43" t="s">
        <v>321</v>
      </c>
      <c r="AS4" s="43" t="s">
        <v>322</v>
      </c>
      <c r="AT4" s="43" t="s">
        <v>321</v>
      </c>
      <c r="AU4" s="43" t="s">
        <v>322</v>
      </c>
      <c r="AV4" s="43" t="s">
        <v>321</v>
      </c>
      <c r="AW4" s="43" t="s">
        <v>322</v>
      </c>
      <c r="AX4" s="43" t="s">
        <v>321</v>
      </c>
      <c r="AY4" s="43" t="s">
        <v>322</v>
      </c>
      <c r="AZ4" s="43" t="s">
        <v>321</v>
      </c>
      <c r="BA4" s="43" t="s">
        <v>322</v>
      </c>
      <c r="BB4" s="43" t="s">
        <v>321</v>
      </c>
      <c r="BC4" s="43" t="s">
        <v>322</v>
      </c>
      <c r="BD4" s="43" t="s">
        <v>321</v>
      </c>
      <c r="BE4" s="43" t="s">
        <v>322</v>
      </c>
      <c r="BF4" s="43" t="s">
        <v>321</v>
      </c>
      <c r="BG4" s="43" t="s">
        <v>322</v>
      </c>
      <c r="BH4" s="43" t="s">
        <v>321</v>
      </c>
      <c r="BI4" s="43" t="s">
        <v>322</v>
      </c>
      <c r="BJ4" s="43" t="s">
        <v>321</v>
      </c>
      <c r="BK4" s="43" t="s">
        <v>322</v>
      </c>
      <c r="BL4" s="43" t="s">
        <v>321</v>
      </c>
      <c r="BM4" s="43" t="s">
        <v>322</v>
      </c>
      <c r="BN4" s="43" t="s">
        <v>321</v>
      </c>
      <c r="BO4" s="43" t="s">
        <v>322</v>
      </c>
      <c r="BP4" s="43" t="s">
        <v>321</v>
      </c>
      <c r="BQ4" s="43" t="s">
        <v>322</v>
      </c>
      <c r="BR4" s="43" t="s">
        <v>321</v>
      </c>
      <c r="BS4" s="43" t="s">
        <v>322</v>
      </c>
    </row>
    <row r="5" spans="1:71" x14ac:dyDescent="0.25">
      <c r="A5" s="25" t="s">
        <v>228</v>
      </c>
      <c r="B5" s="21">
        <v>93403</v>
      </c>
      <c r="C5" s="21">
        <v>226043</v>
      </c>
      <c r="D5" s="21">
        <v>461031</v>
      </c>
      <c r="E5" s="21">
        <v>1141484</v>
      </c>
      <c r="F5" s="21">
        <v>137867</v>
      </c>
      <c r="G5" s="21">
        <v>509976</v>
      </c>
      <c r="H5" s="21">
        <v>823985</v>
      </c>
      <c r="I5" s="21">
        <v>2403450</v>
      </c>
      <c r="J5" s="44">
        <v>2282012</v>
      </c>
      <c r="K5" s="44">
        <v>8304111</v>
      </c>
      <c r="L5" s="21">
        <v>445025</v>
      </c>
      <c r="M5" s="21">
        <v>1706277</v>
      </c>
      <c r="N5" s="21">
        <v>225492</v>
      </c>
      <c r="O5" s="21">
        <v>1153251</v>
      </c>
      <c r="P5" s="21">
        <v>274738</v>
      </c>
      <c r="Q5" s="21">
        <v>1256422</v>
      </c>
      <c r="R5" s="44">
        <v>116828</v>
      </c>
      <c r="S5" s="44">
        <v>377396</v>
      </c>
      <c r="T5" s="21">
        <v>127353</v>
      </c>
      <c r="U5" s="21">
        <v>403239</v>
      </c>
      <c r="V5" s="21">
        <v>748125.9</v>
      </c>
      <c r="W5" s="21">
        <v>1438323.55</v>
      </c>
      <c r="X5" s="21">
        <v>439272</v>
      </c>
      <c r="Y5" s="21">
        <v>1578350</v>
      </c>
      <c r="Z5" s="21">
        <v>234763</v>
      </c>
      <c r="AA5" s="21">
        <v>814276</v>
      </c>
      <c r="AB5" s="21">
        <v>865010</v>
      </c>
      <c r="AC5" s="21">
        <v>3359941</v>
      </c>
      <c r="AD5" s="21">
        <v>1312933</v>
      </c>
      <c r="AE5" s="21">
        <v>5718753</v>
      </c>
      <c r="AF5" s="21">
        <v>717350</v>
      </c>
      <c r="AG5" s="21">
        <v>2223328</v>
      </c>
      <c r="AH5" s="21">
        <v>143795</v>
      </c>
      <c r="AI5" s="21">
        <v>502934</v>
      </c>
      <c r="AJ5" s="21">
        <v>331893</v>
      </c>
      <c r="AK5" s="21">
        <v>1276969</v>
      </c>
      <c r="AL5" s="21">
        <v>204724</v>
      </c>
      <c r="AM5" s="21">
        <v>846688</v>
      </c>
      <c r="AN5" s="21">
        <v>429414</v>
      </c>
      <c r="AO5" s="21">
        <v>1575034</v>
      </c>
      <c r="AP5" s="21">
        <v>3941075</v>
      </c>
      <c r="AQ5" s="21">
        <v>18644560</v>
      </c>
      <c r="AR5" s="21">
        <v>11934431</v>
      </c>
      <c r="AS5" s="21">
        <v>29019767</v>
      </c>
      <c r="AT5" s="21">
        <v>5769232</v>
      </c>
      <c r="AU5" s="21">
        <v>18595901</v>
      </c>
      <c r="AV5" s="21">
        <v>29419</v>
      </c>
      <c r="AW5" s="21">
        <v>130741</v>
      </c>
      <c r="AX5" s="21">
        <v>1083951</v>
      </c>
      <c r="AY5" s="21">
        <v>3811460</v>
      </c>
      <c r="AZ5" s="21">
        <v>155808</v>
      </c>
      <c r="BA5" s="21">
        <v>279255</v>
      </c>
      <c r="BB5" s="21">
        <v>824154</v>
      </c>
      <c r="BC5" s="21">
        <v>2878677</v>
      </c>
      <c r="BD5" s="21">
        <v>403444</v>
      </c>
      <c r="BE5" s="21">
        <v>1625969</v>
      </c>
      <c r="BF5" s="21">
        <v>687750</v>
      </c>
      <c r="BG5" s="21">
        <v>2623036</v>
      </c>
      <c r="BH5" s="21">
        <v>205197</v>
      </c>
      <c r="BI5" s="21">
        <v>829312</v>
      </c>
      <c r="BJ5" s="21">
        <v>1929858</v>
      </c>
      <c r="BK5" s="21">
        <v>7208781</v>
      </c>
      <c r="BL5" s="21">
        <v>963134</v>
      </c>
      <c r="BM5" s="21">
        <v>4048406</v>
      </c>
      <c r="BN5" s="112">
        <v>7064122</v>
      </c>
      <c r="BO5" s="112">
        <v>22665891</v>
      </c>
      <c r="BP5" s="21">
        <v>211756</v>
      </c>
      <c r="BQ5" s="21">
        <v>709481</v>
      </c>
      <c r="BR5" s="21">
        <f>B5+D5+F5+H5+J5+L5+N5+P5+R5+T5+V5+X5+Z5+AB5+AD5+AF5+AH5+AJ5+AL5+AN5+AP5+AR5+AT5+AV5+AX5+BB5+BD5+BF5+BH5+BJ5+BL5+BN5+BP5</f>
        <v>45462536.899999999</v>
      </c>
      <c r="BS5" s="21">
        <f>C5+E5+G5+I5+K5+M5+O5+Q5+S5+U5+W5+Y5+AA5+AC5+AE5+AG5+AI5+AK5+AM5+AO5+AQ5+AS5+AU5+AW5+AY5+BC5+BE5+BG5+BI5+BK5+BM5+BO5+BQ5</f>
        <v>149608227.55000001</v>
      </c>
    </row>
    <row r="6" spans="1:71" x14ac:dyDescent="0.25">
      <c r="A6" s="25" t="s">
        <v>229</v>
      </c>
      <c r="B6" s="21">
        <v>6015</v>
      </c>
      <c r="C6" s="21">
        <v>18569</v>
      </c>
      <c r="D6" s="21">
        <v>31805</v>
      </c>
      <c r="E6" s="21">
        <v>50497</v>
      </c>
      <c r="F6" s="21">
        <v>9666</v>
      </c>
      <c r="G6" s="21">
        <v>43045</v>
      </c>
      <c r="H6" s="21">
        <v>40592</v>
      </c>
      <c r="I6" s="21">
        <v>130334</v>
      </c>
      <c r="J6" s="123">
        <v>138370</v>
      </c>
      <c r="K6" s="123">
        <v>541439</v>
      </c>
      <c r="L6" s="21">
        <v>36010</v>
      </c>
      <c r="M6" s="21">
        <v>116177</v>
      </c>
      <c r="N6" s="21">
        <v>26686</v>
      </c>
      <c r="O6" s="21">
        <v>125147</v>
      </c>
      <c r="P6" s="21">
        <v>17525</v>
      </c>
      <c r="Q6" s="21">
        <v>74720</v>
      </c>
      <c r="R6" s="21">
        <v>3220</v>
      </c>
      <c r="S6" s="21">
        <v>10080</v>
      </c>
      <c r="T6" s="21">
        <v>3067</v>
      </c>
      <c r="U6" s="21">
        <v>10808</v>
      </c>
      <c r="V6" s="21">
        <v>39315.279999999999</v>
      </c>
      <c r="W6" s="21">
        <v>113120.38</v>
      </c>
      <c r="X6" s="21">
        <v>25897</v>
      </c>
      <c r="Y6" s="21">
        <v>85803</v>
      </c>
      <c r="Z6" s="21">
        <v>38257</v>
      </c>
      <c r="AA6" s="21">
        <v>92239</v>
      </c>
      <c r="AB6" s="21">
        <v>52839</v>
      </c>
      <c r="AC6" s="21">
        <v>172523</v>
      </c>
      <c r="AD6" s="21">
        <v>146439</v>
      </c>
      <c r="AE6" s="21">
        <v>508684</v>
      </c>
      <c r="AF6" s="21">
        <v>64364</v>
      </c>
      <c r="AG6" s="21">
        <v>169660</v>
      </c>
      <c r="AH6" s="21">
        <v>9010</v>
      </c>
      <c r="AI6" s="21">
        <v>27362</v>
      </c>
      <c r="AJ6" s="21">
        <v>25122</v>
      </c>
      <c r="AK6" s="21">
        <v>107964</v>
      </c>
      <c r="AL6" s="21">
        <v>17658</v>
      </c>
      <c r="AM6" s="21">
        <v>63091</v>
      </c>
      <c r="AN6" s="21">
        <v>11709</v>
      </c>
      <c r="AO6" s="21">
        <v>55726</v>
      </c>
      <c r="AP6" s="21">
        <v>161153</v>
      </c>
      <c r="AQ6" s="21">
        <v>539265</v>
      </c>
      <c r="AR6" s="21">
        <v>205306</v>
      </c>
      <c r="AS6" s="21">
        <v>679250</v>
      </c>
      <c r="AT6" s="21">
        <v>147643</v>
      </c>
      <c r="AU6" s="21">
        <v>423241</v>
      </c>
      <c r="AV6" s="21">
        <v>2990</v>
      </c>
      <c r="AW6" s="21">
        <v>7054</v>
      </c>
      <c r="AX6" s="21">
        <v>63650</v>
      </c>
      <c r="AY6" s="21">
        <v>219678</v>
      </c>
      <c r="AZ6" s="21">
        <v>15701</v>
      </c>
      <c r="BA6" s="21">
        <v>17673</v>
      </c>
      <c r="BB6" s="21">
        <v>41428</v>
      </c>
      <c r="BC6" s="21">
        <v>236664</v>
      </c>
      <c r="BD6" s="21">
        <v>26537</v>
      </c>
      <c r="BE6" s="21">
        <v>85975</v>
      </c>
      <c r="BF6" s="21">
        <v>68137</v>
      </c>
      <c r="BG6" s="21">
        <v>177468</v>
      </c>
      <c r="BH6" s="21">
        <v>41343</v>
      </c>
      <c r="BI6" s="21">
        <v>124915</v>
      </c>
      <c r="BJ6" s="21">
        <v>91929</v>
      </c>
      <c r="BK6" s="21">
        <v>271205</v>
      </c>
      <c r="BL6" s="21">
        <v>59504</v>
      </c>
      <c r="BM6" s="21">
        <v>269089</v>
      </c>
      <c r="BN6" s="152">
        <v>178062</v>
      </c>
      <c r="BO6" s="152">
        <v>588748</v>
      </c>
      <c r="BP6" s="21">
        <v>21877</v>
      </c>
      <c r="BQ6" s="21">
        <v>65357</v>
      </c>
      <c r="BR6" s="21">
        <f t="shared" ref="BR6:BR26" si="0">B6+D6+F6+H6+J6+L6+N6+P6+R6+T6+V6+X6+Z6+AB6+AD6+AF6+AH6+AJ6+AL6+AN6+AP6+AR6+AT6+AV6+AX6+BB6+BD6+BF6+BH6+BJ6+BL6+BN6+BP6</f>
        <v>1853125.28</v>
      </c>
      <c r="BS6" s="21">
        <f t="shared" ref="BS6:BS26" si="1">C6+E6+G6+I6+K6+M6+O6+Q6+S6+U6+W6+Y6+AA6+AC6+AE6+AG6+AI6+AK6+AM6+AO6+AQ6+AS6+AU6+AW6+AY6+BC6+BE6+BG6+BI6+BK6+BM6+BO6+BQ6</f>
        <v>6204897.3799999999</v>
      </c>
    </row>
    <row r="7" spans="1:71" x14ac:dyDescent="0.25">
      <c r="A7" s="25" t="s">
        <v>230</v>
      </c>
      <c r="B7" s="21">
        <v>281</v>
      </c>
      <c r="C7" s="21">
        <v>457</v>
      </c>
      <c r="D7" s="21">
        <v>19577</v>
      </c>
      <c r="E7" s="21">
        <v>13633</v>
      </c>
      <c r="F7" s="21">
        <v>543</v>
      </c>
      <c r="G7" s="21">
        <v>1088</v>
      </c>
      <c r="H7" s="21">
        <v>8069</v>
      </c>
      <c r="I7" s="21">
        <v>26637</v>
      </c>
      <c r="J7" s="131">
        <v>8023</v>
      </c>
      <c r="K7" s="124">
        <v>9445</v>
      </c>
      <c r="L7" s="21">
        <v>10909</v>
      </c>
      <c r="M7" s="21">
        <v>17171</v>
      </c>
      <c r="N7" s="21">
        <v>9987</v>
      </c>
      <c r="O7" s="21">
        <v>36560</v>
      </c>
      <c r="P7" s="21">
        <v>42924</v>
      </c>
      <c r="Q7" s="21">
        <v>221203</v>
      </c>
      <c r="R7" s="21">
        <v>225</v>
      </c>
      <c r="S7" s="21">
        <v>62099</v>
      </c>
      <c r="T7" s="21">
        <v>2376</v>
      </c>
      <c r="U7" s="21">
        <v>7772</v>
      </c>
      <c r="V7" s="21">
        <v>7627.36</v>
      </c>
      <c r="W7" s="21">
        <v>18396.43</v>
      </c>
      <c r="X7" s="21">
        <v>46240</v>
      </c>
      <c r="Y7" s="21">
        <v>199540</v>
      </c>
      <c r="Z7" s="21">
        <v>11960</v>
      </c>
      <c r="AA7" s="21">
        <v>23554</v>
      </c>
      <c r="AB7" s="21">
        <v>198409</v>
      </c>
      <c r="AC7" s="21">
        <v>637711</v>
      </c>
      <c r="AD7" s="21">
        <v>34856</v>
      </c>
      <c r="AE7" s="21">
        <v>91806</v>
      </c>
      <c r="AF7" s="21">
        <v>11453</v>
      </c>
      <c r="AG7" s="21">
        <v>20391</v>
      </c>
      <c r="AH7" s="21">
        <v>9370</v>
      </c>
      <c r="AI7" s="21">
        <v>16139</v>
      </c>
      <c r="AJ7" s="21">
        <v>32142</v>
      </c>
      <c r="AK7" s="21">
        <v>227215</v>
      </c>
      <c r="AL7" s="21"/>
      <c r="AM7" s="21"/>
      <c r="AN7" s="21">
        <v>20729</v>
      </c>
      <c r="AO7" s="21">
        <v>69161</v>
      </c>
      <c r="AP7" s="21">
        <v>37476</v>
      </c>
      <c r="AQ7" s="21">
        <v>86088</v>
      </c>
      <c r="AR7" s="21">
        <v>122068</v>
      </c>
      <c r="AS7" s="21">
        <v>167190</v>
      </c>
      <c r="AT7" s="21">
        <v>21457</v>
      </c>
      <c r="AU7" s="21">
        <v>63972</v>
      </c>
      <c r="AV7" s="21"/>
      <c r="AW7" s="21">
        <v>53</v>
      </c>
      <c r="AX7" s="21"/>
      <c r="AY7" s="21"/>
      <c r="AZ7" s="21">
        <v>12627</v>
      </c>
      <c r="BA7" s="21">
        <v>28978</v>
      </c>
      <c r="BB7" s="21">
        <v>27081</v>
      </c>
      <c r="BC7" s="21">
        <v>27081</v>
      </c>
      <c r="BD7" s="21">
        <v>4561</v>
      </c>
      <c r="BE7" s="21">
        <v>11891</v>
      </c>
      <c r="BF7" s="21">
        <v>5979</v>
      </c>
      <c r="BG7" s="21">
        <v>17899</v>
      </c>
      <c r="BH7" s="21">
        <v>1725</v>
      </c>
      <c r="BI7" s="21">
        <v>8102</v>
      </c>
      <c r="BJ7" s="21">
        <v>21071</v>
      </c>
      <c r="BK7" s="21">
        <v>57762</v>
      </c>
      <c r="BL7" s="21">
        <v>27951</v>
      </c>
      <c r="BM7" s="21">
        <v>167471</v>
      </c>
      <c r="BN7" s="152">
        <v>2846</v>
      </c>
      <c r="BO7" s="152">
        <v>21834</v>
      </c>
      <c r="BP7" s="21">
        <v>1570</v>
      </c>
      <c r="BQ7" s="21">
        <v>2480</v>
      </c>
      <c r="BR7" s="21">
        <f t="shared" si="0"/>
        <v>749485.36</v>
      </c>
      <c r="BS7" s="21">
        <f t="shared" si="1"/>
        <v>2331801.4299999997</v>
      </c>
    </row>
    <row r="8" spans="1:71" x14ac:dyDescent="0.25">
      <c r="A8" s="25" t="s">
        <v>231</v>
      </c>
      <c r="B8" s="21">
        <v>6027</v>
      </c>
      <c r="C8" s="21">
        <v>17035</v>
      </c>
      <c r="D8" s="21">
        <v>30381</v>
      </c>
      <c r="E8" s="21">
        <v>85724</v>
      </c>
      <c r="F8" s="21">
        <v>23200</v>
      </c>
      <c r="G8" s="21">
        <v>100481</v>
      </c>
      <c r="H8" s="21">
        <v>50029</v>
      </c>
      <c r="I8" s="21">
        <v>161146</v>
      </c>
      <c r="J8" s="123">
        <v>90016</v>
      </c>
      <c r="K8" s="123">
        <v>332900</v>
      </c>
      <c r="L8" s="21">
        <v>155821</v>
      </c>
      <c r="M8" s="21">
        <v>488560</v>
      </c>
      <c r="N8" s="21">
        <v>26766</v>
      </c>
      <c r="O8" s="21">
        <v>107419</v>
      </c>
      <c r="P8" s="21">
        <v>19434</v>
      </c>
      <c r="Q8" s="21">
        <v>81970</v>
      </c>
      <c r="R8" s="21">
        <v>16407</v>
      </c>
      <c r="S8" s="21">
        <v>103750</v>
      </c>
      <c r="T8" s="21">
        <v>11460</v>
      </c>
      <c r="U8" s="21">
        <v>29535</v>
      </c>
      <c r="V8" s="21">
        <v>61387.97</v>
      </c>
      <c r="W8" s="21">
        <v>253188.55</v>
      </c>
      <c r="X8" s="21">
        <v>66161</v>
      </c>
      <c r="Y8" s="21">
        <v>248401</v>
      </c>
      <c r="Z8" s="21">
        <v>16742</v>
      </c>
      <c r="AA8" s="21">
        <v>20260</v>
      </c>
      <c r="AB8" s="21">
        <v>87444</v>
      </c>
      <c r="AC8" s="21">
        <v>375814</v>
      </c>
      <c r="AD8" s="21">
        <v>183819</v>
      </c>
      <c r="AE8" s="21">
        <v>973084</v>
      </c>
      <c r="AF8" s="21">
        <v>110098</v>
      </c>
      <c r="AG8" s="21">
        <v>376872</v>
      </c>
      <c r="AH8" s="21">
        <v>16730</v>
      </c>
      <c r="AI8" s="21">
        <v>55255</v>
      </c>
      <c r="AJ8" s="21">
        <v>44652</v>
      </c>
      <c r="AK8" s="21">
        <v>163511</v>
      </c>
      <c r="AL8" s="21">
        <v>14033</v>
      </c>
      <c r="AM8" s="21">
        <v>48572</v>
      </c>
      <c r="AN8" s="21">
        <v>37874</v>
      </c>
      <c r="AO8" s="21">
        <v>132438</v>
      </c>
      <c r="AP8" s="21">
        <v>206948</v>
      </c>
      <c r="AQ8" s="21">
        <v>919299</v>
      </c>
      <c r="AR8" s="21">
        <v>450618</v>
      </c>
      <c r="AS8" s="21">
        <v>1384962</v>
      </c>
      <c r="AT8" s="21">
        <v>464740</v>
      </c>
      <c r="AU8" s="21">
        <v>1052452</v>
      </c>
      <c r="AV8" s="21">
        <v>4336</v>
      </c>
      <c r="AW8" s="21">
        <v>16107</v>
      </c>
      <c r="AX8" s="21">
        <v>52250</v>
      </c>
      <c r="AY8" s="21">
        <v>287182</v>
      </c>
      <c r="AZ8" s="21">
        <v>11874</v>
      </c>
      <c r="BA8" s="21">
        <v>22443</v>
      </c>
      <c r="BB8" s="21">
        <v>31181</v>
      </c>
      <c r="BC8" s="21">
        <v>99170</v>
      </c>
      <c r="BD8" s="21">
        <v>27142</v>
      </c>
      <c r="BE8" s="21">
        <v>160534</v>
      </c>
      <c r="BF8" s="21">
        <v>64113</v>
      </c>
      <c r="BG8" s="21">
        <v>278320</v>
      </c>
      <c r="BH8" s="21">
        <v>26888</v>
      </c>
      <c r="BI8" s="21">
        <v>97332</v>
      </c>
      <c r="BJ8" s="21">
        <v>147854</v>
      </c>
      <c r="BK8" s="21">
        <v>511330</v>
      </c>
      <c r="BL8" s="21">
        <v>493182</v>
      </c>
      <c r="BM8" s="21">
        <v>1541909</v>
      </c>
      <c r="BN8" s="153">
        <v>636592</v>
      </c>
      <c r="BO8" s="153">
        <v>1294206</v>
      </c>
      <c r="BP8" s="21">
        <v>152103</v>
      </c>
      <c r="BQ8" s="21">
        <v>373354</v>
      </c>
      <c r="BR8" s="21">
        <f t="shared" si="0"/>
        <v>3826428.9699999997</v>
      </c>
      <c r="BS8" s="21">
        <f t="shared" si="1"/>
        <v>12172072.550000001</v>
      </c>
    </row>
    <row r="9" spans="1:71" x14ac:dyDescent="0.25">
      <c r="A9" s="25" t="s">
        <v>232</v>
      </c>
      <c r="B9" s="21">
        <v>42</v>
      </c>
      <c r="C9" s="21">
        <v>555</v>
      </c>
      <c r="D9" s="21">
        <v>2913</v>
      </c>
      <c r="E9" s="21">
        <v>5530</v>
      </c>
      <c r="F9" s="21">
        <v>4301</v>
      </c>
      <c r="G9" s="21">
        <v>15718</v>
      </c>
      <c r="H9" s="21">
        <v>30450</v>
      </c>
      <c r="I9" s="21">
        <v>109522</v>
      </c>
      <c r="J9" s="123">
        <v>37580</v>
      </c>
      <c r="K9" s="123">
        <v>107757</v>
      </c>
      <c r="L9" s="21">
        <v>14292</v>
      </c>
      <c r="M9" s="21">
        <v>47859</v>
      </c>
      <c r="N9" s="21">
        <v>8136</v>
      </c>
      <c r="O9" s="21">
        <v>24540</v>
      </c>
      <c r="P9" s="21">
        <v>5662</v>
      </c>
      <c r="Q9" s="21">
        <v>13798</v>
      </c>
      <c r="R9" s="21">
        <v>2088</v>
      </c>
      <c r="S9" s="21">
        <v>7662</v>
      </c>
      <c r="T9" s="21">
        <v>3292</v>
      </c>
      <c r="U9" s="21">
        <v>9253</v>
      </c>
      <c r="V9" s="21">
        <v>78914.820000000007</v>
      </c>
      <c r="W9" s="21">
        <v>189721.2</v>
      </c>
      <c r="X9" s="21">
        <v>84838</v>
      </c>
      <c r="Y9" s="21">
        <v>246191</v>
      </c>
      <c r="Z9" s="21"/>
      <c r="AA9" s="21"/>
      <c r="AB9" s="21">
        <v>37199</v>
      </c>
      <c r="AC9" s="21">
        <v>153335</v>
      </c>
      <c r="AD9" s="21">
        <v>171946</v>
      </c>
      <c r="AE9" s="21">
        <v>549597</v>
      </c>
      <c r="AF9" s="21">
        <v>51089</v>
      </c>
      <c r="AG9" s="21">
        <v>158738</v>
      </c>
      <c r="AH9" s="21">
        <v>4538</v>
      </c>
      <c r="AI9" s="21">
        <v>14039</v>
      </c>
      <c r="AJ9" s="21">
        <v>13640</v>
      </c>
      <c r="AK9" s="21">
        <v>97817</v>
      </c>
      <c r="AL9" s="21">
        <v>7165</v>
      </c>
      <c r="AM9" s="21">
        <v>26141</v>
      </c>
      <c r="AN9" s="21">
        <v>44009</v>
      </c>
      <c r="AO9" s="21">
        <v>170484</v>
      </c>
      <c r="AP9" s="21">
        <v>26472</v>
      </c>
      <c r="AQ9" s="21">
        <v>63624</v>
      </c>
      <c r="AR9" s="21">
        <v>232628</v>
      </c>
      <c r="AS9" s="21">
        <v>667166</v>
      </c>
      <c r="AT9" s="21">
        <v>67187</v>
      </c>
      <c r="AU9" s="21">
        <v>207074</v>
      </c>
      <c r="AV9" s="21">
        <v>4067</v>
      </c>
      <c r="AW9" s="21">
        <v>13382</v>
      </c>
      <c r="AX9" s="21">
        <v>118514</v>
      </c>
      <c r="AY9" s="21">
        <v>345793</v>
      </c>
      <c r="AZ9" s="21">
        <v>3884</v>
      </c>
      <c r="BA9" s="21">
        <v>5309</v>
      </c>
      <c r="BB9" s="21">
        <v>2083</v>
      </c>
      <c r="BC9" s="21">
        <v>27210</v>
      </c>
      <c r="BD9" s="21">
        <v>17266</v>
      </c>
      <c r="BE9" s="21">
        <v>58622</v>
      </c>
      <c r="BF9" s="21">
        <v>54196</v>
      </c>
      <c r="BG9" s="21">
        <v>230818</v>
      </c>
      <c r="BH9" s="21">
        <v>8869</v>
      </c>
      <c r="BI9" s="21">
        <v>31876</v>
      </c>
      <c r="BJ9" s="21">
        <v>56187</v>
      </c>
      <c r="BK9" s="21">
        <v>199624</v>
      </c>
      <c r="BL9" s="21">
        <v>9180</v>
      </c>
      <c r="BM9" s="21">
        <v>51159</v>
      </c>
      <c r="BN9" s="153">
        <v>110036</v>
      </c>
      <c r="BO9" s="153">
        <v>272617</v>
      </c>
      <c r="BP9" s="21">
        <v>44725</v>
      </c>
      <c r="BQ9" s="21">
        <v>165802</v>
      </c>
      <c r="BR9" s="21">
        <f t="shared" si="0"/>
        <v>1353504.82</v>
      </c>
      <c r="BS9" s="21">
        <f t="shared" si="1"/>
        <v>4283024.2</v>
      </c>
    </row>
    <row r="10" spans="1:71" x14ac:dyDescent="0.25">
      <c r="A10" s="25" t="s">
        <v>222</v>
      </c>
      <c r="B10" s="21">
        <v>489</v>
      </c>
      <c r="C10" s="21">
        <v>1408</v>
      </c>
      <c r="D10" s="21">
        <v>21957</v>
      </c>
      <c r="E10" s="21">
        <v>25506</v>
      </c>
      <c r="F10" s="21">
        <v>13499</v>
      </c>
      <c r="G10" s="21">
        <v>19969</v>
      </c>
      <c r="H10" s="21">
        <v>12379</v>
      </c>
      <c r="I10" s="21">
        <v>46557</v>
      </c>
      <c r="J10" s="44">
        <v>67505</v>
      </c>
      <c r="K10" s="44">
        <v>229331</v>
      </c>
      <c r="L10" s="21">
        <v>5296</v>
      </c>
      <c r="M10" s="21">
        <v>30395</v>
      </c>
      <c r="N10" s="21">
        <v>9194</v>
      </c>
      <c r="O10" s="21">
        <v>49996</v>
      </c>
      <c r="P10" s="21">
        <v>10584</v>
      </c>
      <c r="Q10" s="21">
        <v>32410</v>
      </c>
      <c r="R10" s="21">
        <v>562</v>
      </c>
      <c r="S10" s="21">
        <v>3772</v>
      </c>
      <c r="T10" s="21">
        <v>1764</v>
      </c>
      <c r="U10" s="21">
        <v>4739</v>
      </c>
      <c r="V10" s="21">
        <v>5012.2</v>
      </c>
      <c r="W10" s="21">
        <v>15904.48</v>
      </c>
      <c r="X10" s="21">
        <v>37766</v>
      </c>
      <c r="Y10" s="21">
        <v>111018</v>
      </c>
      <c r="Z10" s="21">
        <v>1449</v>
      </c>
      <c r="AA10" s="21">
        <v>5747</v>
      </c>
      <c r="AB10" s="21">
        <v>38530</v>
      </c>
      <c r="AC10" s="21">
        <v>148303</v>
      </c>
      <c r="AD10" s="21">
        <v>40956</v>
      </c>
      <c r="AE10" s="21">
        <v>116899</v>
      </c>
      <c r="AF10" s="21">
        <v>31172</v>
      </c>
      <c r="AG10" s="21">
        <v>83006</v>
      </c>
      <c r="AH10" s="21">
        <v>3027</v>
      </c>
      <c r="AI10" s="21">
        <v>8233</v>
      </c>
      <c r="AJ10" s="21">
        <v>7763</v>
      </c>
      <c r="AK10" s="21">
        <v>29283</v>
      </c>
      <c r="AL10" s="21">
        <v>4559</v>
      </c>
      <c r="AM10" s="21">
        <v>12103</v>
      </c>
      <c r="AN10" s="21">
        <v>3612</v>
      </c>
      <c r="AO10" s="21">
        <v>23139</v>
      </c>
      <c r="AP10" s="21">
        <v>117176</v>
      </c>
      <c r="AQ10" s="21">
        <v>274147</v>
      </c>
      <c r="AR10" s="21">
        <v>117876</v>
      </c>
      <c r="AS10" s="21">
        <v>373279</v>
      </c>
      <c r="AT10" s="21">
        <v>69595</v>
      </c>
      <c r="AU10" s="21">
        <v>192487</v>
      </c>
      <c r="AV10" s="21">
        <v>227</v>
      </c>
      <c r="AW10" s="21">
        <v>790</v>
      </c>
      <c r="AX10" s="21">
        <v>14506</v>
      </c>
      <c r="AY10" s="21">
        <v>68545</v>
      </c>
      <c r="AZ10" s="21">
        <v>660</v>
      </c>
      <c r="BA10" s="21">
        <v>1340</v>
      </c>
      <c r="BB10" s="21">
        <v>16225</v>
      </c>
      <c r="BC10" s="21">
        <v>45308</v>
      </c>
      <c r="BD10" s="21">
        <v>16763</v>
      </c>
      <c r="BE10" s="21">
        <v>49266</v>
      </c>
      <c r="BF10" s="21">
        <v>80043</v>
      </c>
      <c r="BG10" s="21">
        <v>196700</v>
      </c>
      <c r="BH10" s="21">
        <v>7058</v>
      </c>
      <c r="BI10" s="21">
        <v>28621</v>
      </c>
      <c r="BJ10" s="21">
        <v>62612</v>
      </c>
      <c r="BK10" s="21">
        <v>205850</v>
      </c>
      <c r="BL10" s="21">
        <v>30686</v>
      </c>
      <c r="BM10" s="21">
        <v>98450</v>
      </c>
      <c r="BN10" s="112">
        <v>88136</v>
      </c>
      <c r="BO10" s="112">
        <v>216061</v>
      </c>
      <c r="BP10" s="21">
        <v>8458</v>
      </c>
      <c r="BQ10" s="21">
        <v>31716</v>
      </c>
      <c r="BR10" s="21">
        <f t="shared" si="0"/>
        <v>946436.2</v>
      </c>
      <c r="BS10" s="21">
        <f t="shared" si="1"/>
        <v>2778938.48</v>
      </c>
    </row>
    <row r="11" spans="1:71" x14ac:dyDescent="0.25">
      <c r="A11" s="25" t="s">
        <v>223</v>
      </c>
      <c r="B11" s="21">
        <v>3182</v>
      </c>
      <c r="C11" s="21">
        <v>7032</v>
      </c>
      <c r="D11" s="21">
        <v>8152</v>
      </c>
      <c r="E11" s="21">
        <v>24612</v>
      </c>
      <c r="F11" s="21">
        <v>2908</v>
      </c>
      <c r="G11" s="21">
        <v>8736</v>
      </c>
      <c r="H11" s="21">
        <v>23884</v>
      </c>
      <c r="I11" s="21">
        <v>74899</v>
      </c>
      <c r="J11" s="44">
        <v>115082</v>
      </c>
      <c r="K11" s="44">
        <v>361622</v>
      </c>
      <c r="L11" s="21">
        <v>58938</v>
      </c>
      <c r="M11" s="21">
        <v>170554</v>
      </c>
      <c r="N11" s="21">
        <v>17643</v>
      </c>
      <c r="O11" s="21">
        <v>80544</v>
      </c>
      <c r="P11" s="21">
        <v>8086</v>
      </c>
      <c r="Q11" s="21">
        <v>49669</v>
      </c>
      <c r="R11" s="21">
        <v>2182</v>
      </c>
      <c r="S11" s="21">
        <v>10146</v>
      </c>
      <c r="T11" s="21">
        <v>1787</v>
      </c>
      <c r="U11" s="21">
        <v>4966</v>
      </c>
      <c r="V11" s="21">
        <v>9623.5499999999993</v>
      </c>
      <c r="W11" s="21">
        <v>22810.55</v>
      </c>
      <c r="X11" s="21">
        <v>19721</v>
      </c>
      <c r="Y11" s="21">
        <v>75075</v>
      </c>
      <c r="Z11" s="21">
        <v>2230</v>
      </c>
      <c r="AA11" s="21">
        <v>6074</v>
      </c>
      <c r="AB11" s="21">
        <v>11894</v>
      </c>
      <c r="AC11" s="21">
        <v>57852</v>
      </c>
      <c r="AD11" s="21">
        <v>111806</v>
      </c>
      <c r="AE11" s="21">
        <v>395291</v>
      </c>
      <c r="AF11" s="21">
        <v>40043</v>
      </c>
      <c r="AG11" s="21">
        <v>118735</v>
      </c>
      <c r="AH11" s="21">
        <v>4115</v>
      </c>
      <c r="AI11" s="21">
        <v>11573</v>
      </c>
      <c r="AJ11" s="21">
        <v>23324</v>
      </c>
      <c r="AK11" s="21">
        <v>104592</v>
      </c>
      <c r="AL11" s="21">
        <v>5143</v>
      </c>
      <c r="AM11" s="21">
        <v>16325</v>
      </c>
      <c r="AN11" s="21">
        <v>2377</v>
      </c>
      <c r="AO11" s="21">
        <v>70282</v>
      </c>
      <c r="AP11" s="21">
        <v>181957</v>
      </c>
      <c r="AQ11" s="21">
        <v>381590</v>
      </c>
      <c r="AR11" s="21">
        <v>76256</v>
      </c>
      <c r="AS11" s="21">
        <v>273709</v>
      </c>
      <c r="AT11" s="21">
        <v>63296</v>
      </c>
      <c r="AU11" s="21">
        <v>170157</v>
      </c>
      <c r="AV11" s="21">
        <v>1075</v>
      </c>
      <c r="AW11" s="21">
        <v>3752</v>
      </c>
      <c r="AX11" s="21">
        <v>31462</v>
      </c>
      <c r="AY11" s="21">
        <v>135783</v>
      </c>
      <c r="AZ11" s="21">
        <v>1631</v>
      </c>
      <c r="BA11" s="21">
        <v>2267</v>
      </c>
      <c r="BB11" s="21">
        <v>24682</v>
      </c>
      <c r="BC11" s="21">
        <v>82315</v>
      </c>
      <c r="BD11" s="21">
        <v>26253</v>
      </c>
      <c r="BE11" s="21">
        <v>93803</v>
      </c>
      <c r="BF11" s="21">
        <v>64503</v>
      </c>
      <c r="BG11" s="21">
        <v>187911</v>
      </c>
      <c r="BH11" s="21">
        <v>17836</v>
      </c>
      <c r="BI11" s="21">
        <v>56446</v>
      </c>
      <c r="BJ11" s="21">
        <v>66667</v>
      </c>
      <c r="BK11" s="21">
        <v>198429</v>
      </c>
      <c r="BL11" s="21">
        <v>68283</v>
      </c>
      <c r="BM11" s="21">
        <v>287835</v>
      </c>
      <c r="BN11" s="112">
        <v>91494</v>
      </c>
      <c r="BO11" s="112">
        <v>308236</v>
      </c>
      <c r="BP11" s="21">
        <v>13451</v>
      </c>
      <c r="BQ11" s="21">
        <v>53949</v>
      </c>
      <c r="BR11" s="21">
        <f t="shared" si="0"/>
        <v>1199335.55</v>
      </c>
      <c r="BS11" s="21">
        <f t="shared" si="1"/>
        <v>3905304.55</v>
      </c>
    </row>
    <row r="12" spans="1:71" x14ac:dyDescent="0.25">
      <c r="A12" s="25" t="s">
        <v>224</v>
      </c>
      <c r="B12" s="21">
        <v>24912</v>
      </c>
      <c r="C12" s="21">
        <v>56966</v>
      </c>
      <c r="D12" s="21">
        <v>22582</v>
      </c>
      <c r="E12" s="21">
        <v>29560</v>
      </c>
      <c r="F12" s="21">
        <v>8661</v>
      </c>
      <c r="G12" s="21">
        <v>24419</v>
      </c>
      <c r="H12" s="21">
        <v>56713</v>
      </c>
      <c r="I12" s="21">
        <v>161908</v>
      </c>
      <c r="J12" s="109">
        <v>61044</v>
      </c>
      <c r="K12" s="109">
        <v>158599</v>
      </c>
      <c r="L12" s="21">
        <v>7967</v>
      </c>
      <c r="M12" s="21">
        <v>170874</v>
      </c>
      <c r="N12" s="21">
        <v>7101</v>
      </c>
      <c r="O12" s="21">
        <v>68259</v>
      </c>
      <c r="P12" s="21">
        <v>76781</v>
      </c>
      <c r="Q12" s="21">
        <v>319157</v>
      </c>
      <c r="R12" s="21">
        <v>32466</v>
      </c>
      <c r="S12" s="21">
        <v>317153</v>
      </c>
      <c r="T12" s="21">
        <v>39808</v>
      </c>
      <c r="U12" s="21">
        <v>46096</v>
      </c>
      <c r="V12" s="21">
        <v>15709.27</v>
      </c>
      <c r="W12" s="21">
        <v>40821.449999999997</v>
      </c>
      <c r="X12" s="21">
        <v>214202</v>
      </c>
      <c r="Y12" s="21">
        <v>465463</v>
      </c>
      <c r="Z12" s="21">
        <v>23722</v>
      </c>
      <c r="AA12" s="21">
        <v>31263</v>
      </c>
      <c r="AB12" s="21">
        <v>888589</v>
      </c>
      <c r="AC12" s="21">
        <v>2426726</v>
      </c>
      <c r="AD12" s="21">
        <v>407128</v>
      </c>
      <c r="AE12" s="21">
        <v>1534506</v>
      </c>
      <c r="AF12" s="21">
        <v>252854</v>
      </c>
      <c r="AG12" s="21">
        <v>1150498</v>
      </c>
      <c r="AH12" s="21">
        <v>18977</v>
      </c>
      <c r="AI12" s="21">
        <v>50822</v>
      </c>
      <c r="AJ12" s="21">
        <v>66794</v>
      </c>
      <c r="AK12" s="21">
        <v>186243</v>
      </c>
      <c r="AL12" s="21">
        <v>22304</v>
      </c>
      <c r="AM12" s="21">
        <v>80569</v>
      </c>
      <c r="AN12" s="21">
        <v>168124</v>
      </c>
      <c r="AO12" s="21">
        <v>583328</v>
      </c>
      <c r="AP12" s="21">
        <v>114293</v>
      </c>
      <c r="AQ12" s="21">
        <v>252211</v>
      </c>
      <c r="AR12" s="21">
        <v>391970</v>
      </c>
      <c r="AS12" s="21">
        <v>920902</v>
      </c>
      <c r="AT12" s="21">
        <v>27107</v>
      </c>
      <c r="AU12" s="21">
        <v>85324</v>
      </c>
      <c r="AV12" s="21">
        <v>12229</v>
      </c>
      <c r="AW12" s="21">
        <v>45787</v>
      </c>
      <c r="AX12" s="21">
        <v>52516</v>
      </c>
      <c r="AY12" s="21">
        <v>184539</v>
      </c>
      <c r="AZ12" s="21">
        <v>10406</v>
      </c>
      <c r="BA12" s="21">
        <v>22579</v>
      </c>
      <c r="BB12" s="21">
        <v>304825</v>
      </c>
      <c r="BC12" s="21">
        <v>778195</v>
      </c>
      <c r="BD12" s="21">
        <v>10426</v>
      </c>
      <c r="BE12" s="21">
        <v>30430</v>
      </c>
      <c r="BF12" s="21">
        <v>225401</v>
      </c>
      <c r="BG12" s="21">
        <v>701176</v>
      </c>
      <c r="BH12" s="21">
        <v>48745</v>
      </c>
      <c r="BI12" s="21">
        <v>186282</v>
      </c>
      <c r="BJ12" s="21">
        <v>-7181</v>
      </c>
      <c r="BK12" s="21">
        <v>102906</v>
      </c>
      <c r="BL12" s="21">
        <v>965423</v>
      </c>
      <c r="BM12" s="21">
        <v>2633997</v>
      </c>
      <c r="BN12" s="151">
        <v>59191</v>
      </c>
      <c r="BO12" s="151">
        <v>158089</v>
      </c>
      <c r="BP12" s="21">
        <v>30719</v>
      </c>
      <c r="BQ12" s="21">
        <v>90585</v>
      </c>
      <c r="BR12" s="21">
        <f t="shared" si="0"/>
        <v>4652102.2699999996</v>
      </c>
      <c r="BS12" s="21">
        <f t="shared" si="1"/>
        <v>14073653.449999999</v>
      </c>
    </row>
    <row r="13" spans="1:71" x14ac:dyDescent="0.25">
      <c r="A13" s="25" t="s">
        <v>225</v>
      </c>
      <c r="B13" s="21"/>
      <c r="C13" s="21"/>
      <c r="D13" s="21"/>
      <c r="E13" s="21"/>
      <c r="F13" s="21"/>
      <c r="G13" s="21"/>
      <c r="H13" s="21"/>
      <c r="I13" s="21"/>
      <c r="J13" s="44"/>
      <c r="K13" s="44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>
        <v>0</v>
      </c>
      <c r="AQ13" s="21">
        <v>0</v>
      </c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>
        <v>0</v>
      </c>
      <c r="BI13" s="21"/>
      <c r="BJ13" s="21"/>
      <c r="BK13" s="21"/>
      <c r="BL13" s="21"/>
      <c r="BM13" s="21"/>
      <c r="BN13" s="21"/>
      <c r="BO13" s="21"/>
      <c r="BP13" s="21"/>
      <c r="BQ13" s="21"/>
      <c r="BR13" s="21">
        <f t="shared" si="0"/>
        <v>0</v>
      </c>
      <c r="BS13" s="21">
        <f t="shared" si="1"/>
        <v>0</v>
      </c>
    </row>
    <row r="14" spans="1:71" x14ac:dyDescent="0.25">
      <c r="A14" s="25" t="s">
        <v>73</v>
      </c>
      <c r="B14" s="21">
        <v>1118</v>
      </c>
      <c r="C14" s="21">
        <v>1560</v>
      </c>
      <c r="D14" s="21">
        <v>1341</v>
      </c>
      <c r="E14" s="21">
        <v>1900</v>
      </c>
      <c r="F14" s="21">
        <v>620</v>
      </c>
      <c r="G14" s="21">
        <v>3063</v>
      </c>
      <c r="H14" s="21">
        <v>649</v>
      </c>
      <c r="I14" s="21">
        <v>2200</v>
      </c>
      <c r="J14" s="123">
        <v>1901</v>
      </c>
      <c r="K14" s="123">
        <v>7601</v>
      </c>
      <c r="L14" s="21">
        <v>1251</v>
      </c>
      <c r="M14" s="21">
        <v>5076</v>
      </c>
      <c r="N14" s="21">
        <v>285</v>
      </c>
      <c r="O14" s="21">
        <v>2640</v>
      </c>
      <c r="P14" s="21">
        <v>440</v>
      </c>
      <c r="Q14" s="21">
        <v>1800</v>
      </c>
      <c r="R14" s="21">
        <v>500</v>
      </c>
      <c r="S14" s="21">
        <v>2000</v>
      </c>
      <c r="T14" s="21">
        <v>150</v>
      </c>
      <c r="U14" s="21">
        <v>940</v>
      </c>
      <c r="V14" s="21">
        <v>6596.48</v>
      </c>
      <c r="W14" s="21">
        <v>6780.53</v>
      </c>
      <c r="X14" s="21">
        <v>887</v>
      </c>
      <c r="Y14" s="21">
        <v>3674</v>
      </c>
      <c r="Z14" s="21">
        <v>405</v>
      </c>
      <c r="AA14" s="21">
        <v>1800</v>
      </c>
      <c r="AB14" s="21">
        <v>4418</v>
      </c>
      <c r="AC14" s="21">
        <v>10170</v>
      </c>
      <c r="AD14" s="21">
        <v>2627</v>
      </c>
      <c r="AE14" s="21">
        <v>20373</v>
      </c>
      <c r="AF14" s="21">
        <v>725</v>
      </c>
      <c r="AG14" s="21">
        <v>2900</v>
      </c>
      <c r="AH14" s="21">
        <v>800</v>
      </c>
      <c r="AI14" s="21">
        <v>2400</v>
      </c>
      <c r="AJ14" s="21">
        <v>1000</v>
      </c>
      <c r="AK14" s="21">
        <v>3500</v>
      </c>
      <c r="AL14" s="21">
        <v>450</v>
      </c>
      <c r="AM14" s="21">
        <v>3600</v>
      </c>
      <c r="AN14" s="21">
        <v>1137</v>
      </c>
      <c r="AO14" s="21">
        <v>3592</v>
      </c>
      <c r="AP14" s="21">
        <v>40591</v>
      </c>
      <c r="AQ14" s="21">
        <v>45500</v>
      </c>
      <c r="AR14" s="21">
        <v>8413</v>
      </c>
      <c r="AS14" s="21">
        <v>111759</v>
      </c>
      <c r="AT14" s="21">
        <v>36137</v>
      </c>
      <c r="AU14" s="21">
        <v>50047</v>
      </c>
      <c r="AV14" s="21">
        <v>670</v>
      </c>
      <c r="AW14" s="21">
        <v>780</v>
      </c>
      <c r="AX14" s="21">
        <v>3999</v>
      </c>
      <c r="AY14" s="21">
        <v>7779</v>
      </c>
      <c r="AZ14" s="21">
        <v>140</v>
      </c>
      <c r="BA14" s="21">
        <v>160</v>
      </c>
      <c r="BB14" s="21">
        <v>1280</v>
      </c>
      <c r="BC14" s="21">
        <v>2930</v>
      </c>
      <c r="BD14" s="21">
        <v>750</v>
      </c>
      <c r="BE14" s="21">
        <v>3000</v>
      </c>
      <c r="BF14" s="21">
        <v>1364</v>
      </c>
      <c r="BG14" s="21">
        <v>6802</v>
      </c>
      <c r="BH14" s="21">
        <v>563</v>
      </c>
      <c r="BI14" s="21">
        <v>1502</v>
      </c>
      <c r="BJ14" s="21">
        <v>3000</v>
      </c>
      <c r="BK14" s="21">
        <v>4200</v>
      </c>
      <c r="BL14" s="21">
        <v>405</v>
      </c>
      <c r="BM14" s="21">
        <v>6500</v>
      </c>
      <c r="BN14" s="153">
        <v>45339</v>
      </c>
      <c r="BO14" s="153">
        <v>49778</v>
      </c>
      <c r="BP14" s="21">
        <v>879</v>
      </c>
      <c r="BQ14" s="21">
        <v>3249</v>
      </c>
      <c r="BR14" s="21">
        <f t="shared" si="0"/>
        <v>170690.47999999998</v>
      </c>
      <c r="BS14" s="21">
        <f t="shared" si="1"/>
        <v>381395.53</v>
      </c>
    </row>
    <row r="15" spans="1:71" ht="15" customHeight="1" x14ac:dyDescent="0.25">
      <c r="A15" s="25" t="s">
        <v>74</v>
      </c>
      <c r="B15" s="21"/>
      <c r="C15" s="21"/>
      <c r="D15" s="21"/>
      <c r="E15" s="21"/>
      <c r="F15" s="21"/>
      <c r="G15" s="21"/>
      <c r="H15" s="21"/>
      <c r="I15" s="21"/>
      <c r="J15" s="130"/>
      <c r="K15" s="123"/>
      <c r="L15" s="21"/>
      <c r="M15" s="21"/>
      <c r="N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154"/>
      <c r="BO15" s="154"/>
      <c r="BP15" s="21"/>
      <c r="BQ15" s="21"/>
      <c r="BR15" s="21">
        <f t="shared" si="0"/>
        <v>0</v>
      </c>
      <c r="BS15" s="21">
        <f>C15+E15+G15+I15+K15+M15+O16+Q15+S15+U15+W15+Y15+AA15+AC15+AE15+AG15+AI15+AK15+AM15+AO15+AQ15+AS15+AU15+AW15+AY15+BC15+BE15+BG15+BI15+BK15+BM15+BO15+BQ15</f>
        <v>1162</v>
      </c>
    </row>
    <row r="16" spans="1:71" x14ac:dyDescent="0.25">
      <c r="A16" s="25" t="s">
        <v>75</v>
      </c>
      <c r="B16" s="21"/>
      <c r="C16" s="21"/>
      <c r="D16" s="21"/>
      <c r="E16" s="21"/>
      <c r="F16" s="21"/>
      <c r="G16" s="21"/>
      <c r="H16" s="21">
        <v>200</v>
      </c>
      <c r="I16" s="21">
        <v>200</v>
      </c>
      <c r="J16" s="124"/>
      <c r="K16" s="124"/>
      <c r="L16" s="21">
        <v>1019</v>
      </c>
      <c r="M16" s="21">
        <v>1208</v>
      </c>
      <c r="N16" s="21">
        <v>-50</v>
      </c>
      <c r="O16" s="21">
        <v>1162</v>
      </c>
      <c r="P16" s="21"/>
      <c r="Q16" s="21"/>
      <c r="R16" s="21">
        <v>50</v>
      </c>
      <c r="S16" s="21">
        <v>200</v>
      </c>
      <c r="T16" s="21"/>
      <c r="U16" s="21"/>
      <c r="V16" s="21">
        <v>1827.44</v>
      </c>
      <c r="W16" s="21">
        <v>1827.44</v>
      </c>
      <c r="X16" s="21">
        <v>433</v>
      </c>
      <c r="Y16" s="21">
        <v>707</v>
      </c>
      <c r="Z16" s="21">
        <v>10</v>
      </c>
      <c r="AA16" s="21">
        <v>60</v>
      </c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>
        <v>550</v>
      </c>
      <c r="AN16" s="21">
        <v>150</v>
      </c>
      <c r="AO16" s="21">
        <v>150</v>
      </c>
      <c r="AP16" s="21"/>
      <c r="AQ16" s="21"/>
      <c r="AR16" s="21"/>
      <c r="AS16" s="21"/>
      <c r="AT16" s="21"/>
      <c r="AU16" s="21"/>
      <c r="AV16" s="21">
        <v>390</v>
      </c>
      <c r="AW16" s="21">
        <v>390</v>
      </c>
      <c r="AX16" s="21"/>
      <c r="AY16" s="21"/>
      <c r="AZ16" s="21"/>
      <c r="BA16" s="21"/>
      <c r="BB16" s="21"/>
      <c r="BC16" s="21"/>
      <c r="BD16" s="21">
        <v>75</v>
      </c>
      <c r="BE16" s="21">
        <v>300</v>
      </c>
      <c r="BF16" s="21"/>
      <c r="BG16" s="21"/>
      <c r="BH16" s="21">
        <v>193</v>
      </c>
      <c r="BI16" s="21">
        <v>192</v>
      </c>
      <c r="BJ16" s="21">
        <v>2000</v>
      </c>
      <c r="BK16" s="21">
        <v>2000</v>
      </c>
      <c r="BL16" s="21"/>
      <c r="BM16" s="21"/>
      <c r="BN16" s="154"/>
      <c r="BO16" s="154"/>
      <c r="BP16" s="21"/>
      <c r="BQ16" s="21"/>
      <c r="BR16" s="21">
        <f t="shared" si="0"/>
        <v>6297.4400000000005</v>
      </c>
      <c r="BS16" s="21">
        <f>C16+E16+G16+I16+K16+M16+O17+Q16+S16+U16+W16+Y16+AA16+AC16+AE16+AG16+AI16+AK16+AM16+AO16+AQ16+AS16+AU16+AW16+AY16+BC16+BE16+BG16+BI16+BK16+BM16+BO16+BQ16</f>
        <v>8152.4400000000005</v>
      </c>
    </row>
    <row r="17" spans="1:71" x14ac:dyDescent="0.25">
      <c r="A17" s="25" t="s">
        <v>76</v>
      </c>
      <c r="B17" s="21"/>
      <c r="C17" s="21"/>
      <c r="D17" s="21"/>
      <c r="E17" s="21"/>
      <c r="F17" s="21"/>
      <c r="G17" s="21"/>
      <c r="H17" s="21"/>
      <c r="I17" s="21"/>
      <c r="J17" s="124"/>
      <c r="K17" s="123"/>
      <c r="L17" s="21"/>
      <c r="M17" s="21"/>
      <c r="N17" s="21">
        <v>368</v>
      </c>
      <c r="O17" s="21">
        <v>368</v>
      </c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>
        <v>258</v>
      </c>
      <c r="AM17" s="21">
        <v>466</v>
      </c>
      <c r="AN17" s="21"/>
      <c r="AO17" s="21"/>
      <c r="AP17" s="21"/>
      <c r="AQ17" s="21"/>
      <c r="AR17" s="21"/>
      <c r="AS17" s="21"/>
      <c r="AT17" s="21">
        <v>58</v>
      </c>
      <c r="AU17" s="21">
        <v>311</v>
      </c>
      <c r="AV17" s="21">
        <v>53</v>
      </c>
      <c r="AW17" s="21">
        <v>86</v>
      </c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154"/>
      <c r="BO17" s="154"/>
      <c r="BP17" s="21"/>
      <c r="BQ17" s="21"/>
      <c r="BR17" s="21">
        <f t="shared" si="0"/>
        <v>737</v>
      </c>
      <c r="BS17" s="21" t="e">
        <f>C17+E17+G17+I17+K17+M17+#REF!+Q17+S17+U17+W17+Y17+AA17+AC17+AE17+AG17+AI17+AK17+AM17+AO17+AQ17+AS17+AU17+AW17+AY17+BC17+BE17+BG17+BI17+BK17+BM17+BO17+BQ17</f>
        <v>#REF!</v>
      </c>
    </row>
    <row r="18" spans="1:71" x14ac:dyDescent="0.25">
      <c r="A18" s="25" t="s">
        <v>251</v>
      </c>
      <c r="B18" s="21"/>
      <c r="C18" s="21"/>
      <c r="D18" s="21"/>
      <c r="E18" s="21"/>
      <c r="F18" s="21"/>
      <c r="G18" s="21"/>
      <c r="H18" s="21"/>
      <c r="I18" s="21"/>
      <c r="J18" s="44"/>
      <c r="K18" s="44"/>
      <c r="L18" s="21">
        <v>170</v>
      </c>
      <c r="M18" s="21">
        <v>921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>
        <v>105</v>
      </c>
      <c r="AM18" s="21">
        <v>850</v>
      </c>
      <c r="AN18" s="21"/>
      <c r="AO18" s="21"/>
      <c r="AP18" s="21"/>
      <c r="AQ18" s="21"/>
      <c r="AR18" s="21"/>
      <c r="AS18" s="21"/>
      <c r="AT18" s="21">
        <v>13</v>
      </c>
      <c r="AU18" s="21">
        <v>24</v>
      </c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>
        <f t="shared" si="0"/>
        <v>288</v>
      </c>
      <c r="BS18" s="21">
        <f t="shared" si="1"/>
        <v>1795</v>
      </c>
    </row>
    <row r="19" spans="1:71" x14ac:dyDescent="0.25">
      <c r="A19" s="25" t="s">
        <v>77</v>
      </c>
      <c r="B19" s="21">
        <v>343</v>
      </c>
      <c r="C19" s="21">
        <v>343</v>
      </c>
      <c r="D19" s="21">
        <v>104</v>
      </c>
      <c r="E19" s="21">
        <v>90</v>
      </c>
      <c r="F19" s="21"/>
      <c r="G19" s="21"/>
      <c r="H19" s="21">
        <v>32</v>
      </c>
      <c r="I19" s="21">
        <v>32</v>
      </c>
      <c r="J19" s="44">
        <v>-1</v>
      </c>
      <c r="K19" s="44">
        <v>176</v>
      </c>
      <c r="L19" s="21"/>
      <c r="M19" s="21"/>
      <c r="N19" s="21"/>
      <c r="O19" s="21"/>
      <c r="P19" s="21">
        <v>50</v>
      </c>
      <c r="Q19" s="21">
        <v>50</v>
      </c>
      <c r="R19" s="21"/>
      <c r="S19" s="21"/>
      <c r="T19" s="21"/>
      <c r="U19" s="21"/>
      <c r="V19" s="21">
        <v>3598.45</v>
      </c>
      <c r="W19" s="21">
        <v>6648.2</v>
      </c>
      <c r="X19" s="21"/>
      <c r="Y19" s="21"/>
      <c r="Z19" s="21">
        <v>40</v>
      </c>
      <c r="AA19" s="21">
        <v>40</v>
      </c>
      <c r="AB19" s="21">
        <v>195</v>
      </c>
      <c r="AC19" s="21">
        <v>2216</v>
      </c>
      <c r="AD19" s="21">
        <v>386</v>
      </c>
      <c r="AE19" s="21">
        <v>859</v>
      </c>
      <c r="AF19" s="21">
        <v>175</v>
      </c>
      <c r="AG19" s="21">
        <v>700</v>
      </c>
      <c r="AH19" s="21">
        <v>274</v>
      </c>
      <c r="AI19" s="21">
        <v>315</v>
      </c>
      <c r="AJ19" s="21">
        <v>13</v>
      </c>
      <c r="AK19" s="21">
        <v>98</v>
      </c>
      <c r="AL19" s="21">
        <v>18</v>
      </c>
      <c r="AM19" s="21">
        <v>421</v>
      </c>
      <c r="AN19" s="21"/>
      <c r="AO19" s="21"/>
      <c r="AP19" s="21"/>
      <c r="AQ19" s="21"/>
      <c r="AR19" s="21"/>
      <c r="AS19" s="21"/>
      <c r="AT19" s="21">
        <v>1161</v>
      </c>
      <c r="AU19" s="21">
        <v>1363</v>
      </c>
      <c r="AV19" s="21">
        <v>20</v>
      </c>
      <c r="AW19" s="21">
        <v>30</v>
      </c>
      <c r="AX19" s="21"/>
      <c r="AY19" s="21"/>
      <c r="AZ19" s="21">
        <v>65</v>
      </c>
      <c r="BA19" s="21">
        <v>65</v>
      </c>
      <c r="BB19" s="21"/>
      <c r="BC19" s="21"/>
      <c r="BD19" s="21">
        <v>806</v>
      </c>
      <c r="BE19" s="21">
        <v>1054</v>
      </c>
      <c r="BF19" s="21">
        <v>214</v>
      </c>
      <c r="BG19" s="21">
        <v>1107</v>
      </c>
      <c r="BH19" s="21">
        <v>-67</v>
      </c>
      <c r="BI19" s="21">
        <f>1082+65</f>
        <v>1147</v>
      </c>
      <c r="BJ19" s="21">
        <v>415</v>
      </c>
      <c r="BK19" s="21">
        <v>655</v>
      </c>
      <c r="BL19" s="21">
        <v>1500</v>
      </c>
      <c r="BM19" s="21">
        <v>1500</v>
      </c>
      <c r="BN19" s="21">
        <v>361</v>
      </c>
      <c r="BO19" s="21">
        <v>2683</v>
      </c>
      <c r="BP19" s="21">
        <v>-580</v>
      </c>
      <c r="BQ19" s="21">
        <v>1396</v>
      </c>
      <c r="BR19" s="21">
        <f t="shared" si="0"/>
        <v>9057.4500000000007</v>
      </c>
      <c r="BS19" s="21">
        <f t="shared" si="1"/>
        <v>22923.200000000001</v>
      </c>
    </row>
    <row r="20" spans="1:71" x14ac:dyDescent="0.25">
      <c r="A20" s="25" t="s">
        <v>234</v>
      </c>
      <c r="B20" s="21"/>
      <c r="C20" s="21"/>
      <c r="D20" s="21">
        <v>90</v>
      </c>
      <c r="E20" s="21">
        <v>267</v>
      </c>
      <c r="F20" s="21"/>
      <c r="G20" s="21"/>
      <c r="H20" s="21">
        <v>190</v>
      </c>
      <c r="I20" s="21">
        <v>288</v>
      </c>
      <c r="J20" s="109">
        <v>410</v>
      </c>
      <c r="K20" s="109">
        <v>945</v>
      </c>
      <c r="L20" s="21">
        <v>47</v>
      </c>
      <c r="M20" s="21">
        <v>437</v>
      </c>
      <c r="N20" s="21">
        <v>10</v>
      </c>
      <c r="O20" s="21">
        <v>50</v>
      </c>
      <c r="P20" s="21"/>
      <c r="Q20" s="21">
        <v>97</v>
      </c>
      <c r="R20" s="21">
        <v>31</v>
      </c>
      <c r="S20" s="21">
        <v>74</v>
      </c>
      <c r="T20" s="21"/>
      <c r="U20" s="21"/>
      <c r="V20" s="21"/>
      <c r="W20" s="21"/>
      <c r="X20" s="21"/>
      <c r="Y20" s="21"/>
      <c r="Z20" s="21">
        <v>73</v>
      </c>
      <c r="AA20" s="21">
        <v>88</v>
      </c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>
        <v>3</v>
      </c>
      <c r="BA20" s="21">
        <v>3</v>
      </c>
      <c r="BB20" s="21"/>
      <c r="BC20" s="21"/>
      <c r="BD20" s="21">
        <v>203</v>
      </c>
      <c r="BE20" s="21">
        <v>318</v>
      </c>
      <c r="BF20" s="21"/>
      <c r="BG20" s="21"/>
      <c r="BH20" s="21">
        <v>83</v>
      </c>
      <c r="BI20" s="21">
        <v>589</v>
      </c>
      <c r="BJ20" s="21">
        <v>381</v>
      </c>
      <c r="BK20" s="21">
        <v>818</v>
      </c>
      <c r="BL20" s="21">
        <v>208</v>
      </c>
      <c r="BM20" s="21">
        <v>208</v>
      </c>
      <c r="BN20" s="21"/>
      <c r="BO20" s="21"/>
      <c r="BP20" s="21">
        <v>97</v>
      </c>
      <c r="BQ20" s="21">
        <v>676</v>
      </c>
      <c r="BR20" s="21">
        <f t="shared" ref="BR20:BS22" si="2">B20+D20+F20+H20+J20+L20+N20+P20+R20+T20+V20+X20+Z20+AB20+AD20+AF20+AH20+AJ21+AL20+AN20+AP20+AR20+AT20+AV20+AX20+BB20+BD20+BF20+BH20+BJ20+BL20+BN21+BP20</f>
        <v>350028</v>
      </c>
      <c r="BS20" s="21">
        <f t="shared" si="2"/>
        <v>961300</v>
      </c>
    </row>
    <row r="21" spans="1:71" x14ac:dyDescent="0.25">
      <c r="A21" s="25" t="s">
        <v>226</v>
      </c>
      <c r="B21" s="21">
        <v>423832</v>
      </c>
      <c r="C21" s="21">
        <v>1048406</v>
      </c>
      <c r="D21" s="21">
        <v>229962</v>
      </c>
      <c r="E21" s="21">
        <v>333947</v>
      </c>
      <c r="F21" s="21">
        <v>97714</v>
      </c>
      <c r="G21" s="21">
        <v>125508</v>
      </c>
      <c r="H21" s="21">
        <v>735023</v>
      </c>
      <c r="I21" s="21">
        <v>1555987</v>
      </c>
      <c r="J21" s="44">
        <v>359487</v>
      </c>
      <c r="K21" s="44">
        <v>757954</v>
      </c>
      <c r="L21" s="21">
        <v>629038</v>
      </c>
      <c r="M21" s="21">
        <v>1617176</v>
      </c>
      <c r="N21" s="21">
        <v>671808</v>
      </c>
      <c r="O21" s="21">
        <v>2393710</v>
      </c>
      <c r="P21" s="21">
        <v>170266</v>
      </c>
      <c r="Q21" s="21">
        <v>400394</v>
      </c>
      <c r="R21" s="21">
        <v>144666</v>
      </c>
      <c r="S21" s="21">
        <v>298544</v>
      </c>
      <c r="T21" s="21">
        <v>-829</v>
      </c>
      <c r="U21" s="21">
        <v>14650</v>
      </c>
      <c r="V21" s="21">
        <v>15469.88</v>
      </c>
      <c r="W21" s="21">
        <v>65289.84</v>
      </c>
      <c r="X21" s="21">
        <v>154378</v>
      </c>
      <c r="Y21" s="21">
        <v>453654</v>
      </c>
      <c r="Z21" s="21">
        <v>1268258</v>
      </c>
      <c r="AA21" s="21">
        <v>2543554</v>
      </c>
      <c r="AB21" s="21">
        <v>632967</v>
      </c>
      <c r="AC21" s="21">
        <v>2395738</v>
      </c>
      <c r="AD21" s="21">
        <v>670096</v>
      </c>
      <c r="AE21" s="21">
        <v>1856087</v>
      </c>
      <c r="AF21" s="21">
        <v>240728</v>
      </c>
      <c r="AG21" s="21">
        <v>395280</v>
      </c>
      <c r="AH21" s="21">
        <v>49714</v>
      </c>
      <c r="AI21" s="21">
        <v>114777</v>
      </c>
      <c r="AJ21" s="21">
        <v>262579</v>
      </c>
      <c r="AK21" s="21">
        <v>612680</v>
      </c>
      <c r="AL21" s="21">
        <v>342934</v>
      </c>
      <c r="AM21" s="21">
        <v>906853</v>
      </c>
      <c r="AN21" s="21">
        <v>402052</v>
      </c>
      <c r="AO21" s="21">
        <v>665644</v>
      </c>
      <c r="AP21" s="21">
        <v>108703</v>
      </c>
      <c r="AQ21" s="21">
        <v>203436</v>
      </c>
      <c r="AR21" s="21">
        <v>222652</v>
      </c>
      <c r="AS21" s="21">
        <v>699891</v>
      </c>
      <c r="AT21" s="21">
        <v>225458</v>
      </c>
      <c r="AU21" s="21">
        <v>339515</v>
      </c>
      <c r="AV21" s="21">
        <v>100427</v>
      </c>
      <c r="AW21" s="21">
        <v>221355</v>
      </c>
      <c r="AX21" s="21">
        <v>958759</v>
      </c>
      <c r="AY21" s="21">
        <v>3151146</v>
      </c>
      <c r="AZ21" s="21">
        <v>24760</v>
      </c>
      <c r="BA21" s="21">
        <v>55011</v>
      </c>
      <c r="BB21" s="21">
        <v>234331</v>
      </c>
      <c r="BC21" s="21">
        <v>851633</v>
      </c>
      <c r="BD21" s="21">
        <v>144029</v>
      </c>
      <c r="BE21" s="21">
        <v>378671</v>
      </c>
      <c r="BF21" s="21">
        <v>117300</v>
      </c>
      <c r="BG21" s="21">
        <v>238609</v>
      </c>
      <c r="BH21" s="21">
        <v>110</v>
      </c>
      <c r="BI21" s="21">
        <v>32751</v>
      </c>
      <c r="BJ21" s="21">
        <v>633065</v>
      </c>
      <c r="BK21" s="21">
        <v>1389500</v>
      </c>
      <c r="BL21" s="21">
        <v>1443572</v>
      </c>
      <c r="BM21" s="21">
        <v>3740039</v>
      </c>
      <c r="BN21" s="21">
        <v>85626</v>
      </c>
      <c r="BO21" s="21">
        <v>343765</v>
      </c>
      <c r="BP21" s="45">
        <v>60644</v>
      </c>
      <c r="BQ21" s="21">
        <v>270889</v>
      </c>
      <c r="BR21" s="21">
        <f t="shared" si="2"/>
        <v>11558226.879999999</v>
      </c>
      <c r="BS21" s="21">
        <f t="shared" si="2"/>
        <v>29675783.84</v>
      </c>
    </row>
    <row r="22" spans="1:71" x14ac:dyDescent="0.25">
      <c r="A22" s="25" t="s">
        <v>227</v>
      </c>
      <c r="B22" s="21">
        <v>4063</v>
      </c>
      <c r="C22" s="21">
        <v>6600</v>
      </c>
      <c r="D22" s="21">
        <v>1646</v>
      </c>
      <c r="E22" s="21">
        <v>2263</v>
      </c>
      <c r="F22" s="21">
        <v>9</v>
      </c>
      <c r="G22" s="21">
        <v>545</v>
      </c>
      <c r="H22" s="21">
        <v>19095</v>
      </c>
      <c r="I22" s="21">
        <v>48380</v>
      </c>
      <c r="J22" s="123">
        <v>56790</v>
      </c>
      <c r="K22" s="123">
        <v>182667</v>
      </c>
      <c r="L22" s="21">
        <v>-224</v>
      </c>
      <c r="M22" s="21">
        <v>49991</v>
      </c>
      <c r="N22" s="21">
        <v>24400</v>
      </c>
      <c r="O22" s="21">
        <v>97028</v>
      </c>
      <c r="P22" s="21">
        <v>6232</v>
      </c>
      <c r="Q22" s="21">
        <v>18067</v>
      </c>
      <c r="R22" s="21">
        <v>942</v>
      </c>
      <c r="S22" s="21">
        <v>1321</v>
      </c>
      <c r="T22" s="21">
        <v>1805</v>
      </c>
      <c r="U22" s="21">
        <v>1864</v>
      </c>
      <c r="V22" s="21">
        <v>181.46</v>
      </c>
      <c r="W22" s="21">
        <v>645.13</v>
      </c>
      <c r="X22" s="21">
        <v>4947</v>
      </c>
      <c r="Y22" s="21">
        <v>39502</v>
      </c>
      <c r="Z22" s="21">
        <v>12509</v>
      </c>
      <c r="AA22" s="21">
        <v>29287</v>
      </c>
      <c r="AB22" s="21">
        <v>119306</v>
      </c>
      <c r="AC22" s="21">
        <v>379908</v>
      </c>
      <c r="AD22" s="21">
        <v>86945</v>
      </c>
      <c r="AE22" s="21">
        <v>290761</v>
      </c>
      <c r="AF22" s="21">
        <v>57993</v>
      </c>
      <c r="AG22" s="21">
        <v>127151</v>
      </c>
      <c r="AH22" s="21">
        <v>2479</v>
      </c>
      <c r="AI22" s="21">
        <v>8316</v>
      </c>
      <c r="AJ22" s="21">
        <v>2318</v>
      </c>
      <c r="AK22" s="21">
        <v>7236</v>
      </c>
      <c r="AL22" s="21">
        <v>11745</v>
      </c>
      <c r="AM22" s="21">
        <v>27260</v>
      </c>
      <c r="AN22" s="21">
        <v>11093</v>
      </c>
      <c r="AO22" s="21">
        <v>34235</v>
      </c>
      <c r="AP22" s="21">
        <v>41031</v>
      </c>
      <c r="AQ22" s="21">
        <v>132418</v>
      </c>
      <c r="AR22" s="21">
        <v>38763</v>
      </c>
      <c r="AS22" s="21">
        <v>105307</v>
      </c>
      <c r="AT22" s="21">
        <v>28812</v>
      </c>
      <c r="AU22" s="21">
        <v>63845</v>
      </c>
      <c r="AV22" s="21">
        <v>1740</v>
      </c>
      <c r="AW22" s="21">
        <v>4797</v>
      </c>
      <c r="AX22" s="21">
        <v>23856</v>
      </c>
      <c r="AY22" s="21">
        <v>78111</v>
      </c>
      <c r="AZ22" s="21">
        <v>447</v>
      </c>
      <c r="BA22" s="21">
        <v>569</v>
      </c>
      <c r="BB22" s="21">
        <v>13329</v>
      </c>
      <c r="BC22" s="21">
        <v>34409</v>
      </c>
      <c r="BD22" s="21">
        <v>16429</v>
      </c>
      <c r="BE22" s="21">
        <v>51819</v>
      </c>
      <c r="BF22" s="21">
        <v>3227</v>
      </c>
      <c r="BG22" s="21">
        <v>10911</v>
      </c>
      <c r="BH22" s="21">
        <v>22835</v>
      </c>
      <c r="BI22" s="21"/>
      <c r="BJ22" s="21">
        <v>25488</v>
      </c>
      <c r="BK22" s="21">
        <v>91170</v>
      </c>
      <c r="BL22" s="21">
        <v>34424</v>
      </c>
      <c r="BM22" s="21">
        <v>117412</v>
      </c>
      <c r="BN22" s="21">
        <v>69295</v>
      </c>
      <c r="BO22" s="21">
        <v>207960</v>
      </c>
      <c r="BP22" s="21">
        <v>5109</v>
      </c>
      <c r="BQ22" s="45">
        <v>13295</v>
      </c>
      <c r="BR22" s="21">
        <f t="shared" si="2"/>
        <v>1525487.46</v>
      </c>
      <c r="BS22" s="21">
        <f t="shared" si="2"/>
        <v>3576032.13</v>
      </c>
    </row>
    <row r="23" spans="1:71" x14ac:dyDescent="0.25">
      <c r="A23" s="46" t="s">
        <v>171</v>
      </c>
      <c r="B23" s="21">
        <f t="shared" ref="B23:O23" si="3">B26-B25-B24-B22-B21-B20-B19-B18-B17-B16-B15-B14-B13-B12-B11-B10-B9-B8-B7-B6-B5</f>
        <v>168455</v>
      </c>
      <c r="C23" s="21">
        <f t="shared" si="3"/>
        <v>243985</v>
      </c>
      <c r="D23" s="21">
        <f t="shared" si="3"/>
        <v>145560</v>
      </c>
      <c r="E23" s="21">
        <f t="shared" si="3"/>
        <v>233835</v>
      </c>
      <c r="F23" s="21">
        <f t="shared" si="3"/>
        <v>278833</v>
      </c>
      <c r="G23" s="21">
        <f t="shared" si="3"/>
        <v>1052330</v>
      </c>
      <c r="H23" s="21">
        <f t="shared" si="3"/>
        <v>-639117</v>
      </c>
      <c r="I23" s="21">
        <f t="shared" si="3"/>
        <v>-203113</v>
      </c>
      <c r="J23" s="21">
        <f t="shared" si="3"/>
        <v>2442576</v>
      </c>
      <c r="K23" s="21">
        <f t="shared" si="3"/>
        <v>6516078</v>
      </c>
      <c r="L23" s="21">
        <f t="shared" si="3"/>
        <v>195506</v>
      </c>
      <c r="M23" s="21">
        <f t="shared" si="3"/>
        <v>709763</v>
      </c>
      <c r="N23" s="21">
        <f t="shared" si="3"/>
        <v>1322883</v>
      </c>
      <c r="O23" s="21">
        <f t="shared" si="3"/>
        <v>4918880</v>
      </c>
      <c r="P23" s="21"/>
      <c r="Q23" s="21"/>
      <c r="R23" s="21">
        <v>8399</v>
      </c>
      <c r="S23" s="21">
        <v>44708</v>
      </c>
      <c r="T23" s="21">
        <f t="shared" ref="T23:U23" si="4">T26-T25-T24-T22-T21-T20-T19-T18-T17-T16-T15-T14-T13-T12-T11-T10-T9-T8-T7-T6-T5</f>
        <v>-25219</v>
      </c>
      <c r="U23" s="21">
        <f t="shared" si="4"/>
        <v>60120</v>
      </c>
      <c r="V23" s="21">
        <v>78435.399999999994</v>
      </c>
      <c r="W23" s="21">
        <v>213327.05</v>
      </c>
      <c r="X23" s="21">
        <f>X26-X25-X24-X22-X21-X20-X19-X18-X17-X16-X15-X14-X13-X12-X11-X10-X9-X8-X7-X6-X5</f>
        <v>560825</v>
      </c>
      <c r="Y23" s="21">
        <f>Y26-Y25-Y24-Y22-Y21-Y20-Y19-Y18-Y17-Y16-Y15-Y14-Y13-Y12-Y11-Y10-Y9-Y8-Y7-Y6-Y5</f>
        <v>2185065</v>
      </c>
      <c r="Z23" s="21">
        <f t="shared" ref="Z23:AC23" si="5">Z26-Z25-Z24-Z22-Z21-Z20-Z19-Z18-Z17-Z16-Z15-Z14-Z13-Z12-Z11-Z10-Z9-Z8-Z7-Z6-Z5</f>
        <v>69792</v>
      </c>
      <c r="AA23" s="21">
        <f t="shared" si="5"/>
        <v>518208</v>
      </c>
      <c r="AB23" s="21">
        <f t="shared" si="5"/>
        <v>163837</v>
      </c>
      <c r="AC23" s="21">
        <f t="shared" si="5"/>
        <v>855791</v>
      </c>
      <c r="AD23" s="21">
        <v>2535170</v>
      </c>
      <c r="AE23" s="21">
        <v>7246056</v>
      </c>
      <c r="AF23" s="21">
        <f>AF26-AF25-AF24-AF22-AF21-AF20-AF19-AF18-AF17-AF16-AF15-AF14-AF13-AF12-AF11-AF10-AF9-AF8-AF7-AF6-AF5</f>
        <v>104716</v>
      </c>
      <c r="AG23" s="21">
        <f>AG26-AG25-AG24-AG22-AG21-AG20-AG19-AG18-AG17-AG16-AG15-AG14-AG13-AG12-AG11-AG10-AG9-AG8-AG7-AG6-AG5</f>
        <v>406445</v>
      </c>
      <c r="AH23" s="21">
        <v>37775</v>
      </c>
      <c r="AI23" s="21">
        <v>129977</v>
      </c>
      <c r="AJ23" s="21">
        <f t="shared" ref="AJ23:AK23" si="6">AJ26-AJ25-AJ24-AJ22-AJ21-AJ20-AJ19-AJ18-AJ17-AJ16-AJ15-AJ14-AJ13-AJ12-AJ11-AJ10-AJ9-AJ8-AJ7-AJ6-AJ5</f>
        <v>27199</v>
      </c>
      <c r="AK23" s="21">
        <f t="shared" si="6"/>
        <v>514370</v>
      </c>
      <c r="AL23" s="21">
        <f>AL26-AL25-AL24-AL22-AL21-AL20-AL19-AL18-AL17-AL16-AL15-AL14-AL13-AL12-AL11-AL10-AL9-AL8-AL7-AL6-AL5</f>
        <v>86315</v>
      </c>
      <c r="AM23" s="21">
        <f>AM26-AM25-AM24-AM22-AM21-AM20-AM19-AM18-AM17-AM16-AM15-AM14-AM13-AM12-AM11-AM10-AM9-AM8-AM7-AM6-AM5</f>
        <v>347337</v>
      </c>
      <c r="AN23" s="21">
        <f t="shared" ref="AN23:AQ23" si="7">AN26-AN25-AN24-AN22-AN21-AN20-AN19-AN18-AN17-AN16-AN15-AN14-AN13-AN12-AN11-AN10-AN9-AN8-AN7-AN6-AN5</f>
        <v>-20334</v>
      </c>
      <c r="AO23" s="21">
        <f t="shared" si="7"/>
        <v>23278</v>
      </c>
      <c r="AP23" s="21">
        <f t="shared" si="7"/>
        <v>870204</v>
      </c>
      <c r="AQ23" s="21">
        <f t="shared" si="7"/>
        <v>2827329</v>
      </c>
      <c r="AR23" s="21">
        <v>1041658</v>
      </c>
      <c r="AS23" s="21">
        <v>4231718</v>
      </c>
      <c r="AT23" s="21">
        <f t="shared" ref="AT23:AU23" si="8">AT26-AT25-AT24-AT22-AT21-AT20-AT19-AT18-AT17-AT16-AT15-AT14-AT13-AT12-AT11-AT10-AT9-AT8-AT7-AT6-AT5</f>
        <v>908799</v>
      </c>
      <c r="AU23" s="21">
        <f t="shared" si="8"/>
        <v>2599698</v>
      </c>
      <c r="AV23" s="21">
        <f>-33113+6805</f>
        <v>-26308</v>
      </c>
      <c r="AW23" s="21">
        <f>38607-127447</f>
        <v>-88840</v>
      </c>
      <c r="AX23" s="21">
        <f t="shared" ref="AX23:AY23" si="9">AX26-AX25-AX24-AX22-AX21-AX20-AX19-AX18-AX17-AX16-AX15-AX14-AX13-AX12-AX11-AX10-AX9-AX8-AX7-AX6-AX5</f>
        <v>303399</v>
      </c>
      <c r="AY23" s="21">
        <f t="shared" si="9"/>
        <v>1168441</v>
      </c>
      <c r="AZ23" s="21">
        <f>56+54082+44+376</f>
        <v>54558</v>
      </c>
      <c r="BA23" s="21">
        <f>2556+92170+17+559</f>
        <v>95302</v>
      </c>
      <c r="BB23" s="21"/>
      <c r="BC23" s="21"/>
      <c r="BD23" s="21">
        <f t="shared" ref="BD23:BK23" si="10">BD26-BD25-BD24-BD22-BD21-BD20-BD19-BD18-BD17-BD16-BD15-BD14-BD13-BD12-BD11-BD10-BD9-BD8-BD7-BD6-BD5</f>
        <v>229905</v>
      </c>
      <c r="BE23" s="21">
        <f t="shared" si="10"/>
        <v>1634496</v>
      </c>
      <c r="BF23" s="21">
        <f t="shared" si="10"/>
        <v>280340</v>
      </c>
      <c r="BG23" s="21">
        <f t="shared" si="10"/>
        <v>842887</v>
      </c>
      <c r="BH23" s="21">
        <f t="shared" si="10"/>
        <v>420102</v>
      </c>
      <c r="BI23" s="21">
        <f t="shared" si="10"/>
        <v>1364276</v>
      </c>
      <c r="BJ23" s="21">
        <f t="shared" si="10"/>
        <v>49838</v>
      </c>
      <c r="BK23" s="21">
        <f t="shared" si="10"/>
        <v>-646004</v>
      </c>
      <c r="BL23" s="21">
        <f t="shared" ref="BL23:BQ23" si="11">BL26-BL25-BL24-BL22-BL21-BL20-BL19-BL18-BL17-BL16-BL15-BL14-BL13-BL12-BL11-BL10-BL9-BL8-BL7-BL6-BL5</f>
        <v>-330434</v>
      </c>
      <c r="BM23" s="21">
        <f t="shared" si="11"/>
        <v>1149570</v>
      </c>
      <c r="BN23" s="21">
        <f t="shared" si="11"/>
        <v>821289</v>
      </c>
      <c r="BO23" s="21">
        <f t="shared" si="11"/>
        <v>1012377</v>
      </c>
      <c r="BP23" s="21">
        <f t="shared" si="11"/>
        <v>233839</v>
      </c>
      <c r="BQ23" s="21">
        <f t="shared" si="11"/>
        <v>703782</v>
      </c>
      <c r="BR23" s="21">
        <f t="shared" si="0"/>
        <v>12344237.4</v>
      </c>
      <c r="BS23" s="21">
        <f t="shared" si="1"/>
        <v>42816170.049999997</v>
      </c>
    </row>
    <row r="24" spans="1:71" x14ac:dyDescent="0.25">
      <c r="A24" s="25" t="s">
        <v>78</v>
      </c>
      <c r="B24" s="21">
        <v>1904</v>
      </c>
      <c r="C24" s="21">
        <v>5911</v>
      </c>
      <c r="D24" s="21">
        <v>39595</v>
      </c>
      <c r="E24" s="21">
        <v>113309</v>
      </c>
      <c r="F24" s="21">
        <v>113689</v>
      </c>
      <c r="G24" s="21">
        <v>227604</v>
      </c>
      <c r="H24" s="21">
        <v>36179</v>
      </c>
      <c r="I24" s="21">
        <v>133101</v>
      </c>
      <c r="J24" s="123">
        <v>157095</v>
      </c>
      <c r="K24" s="123">
        <v>435309</v>
      </c>
      <c r="L24" s="21">
        <v>23015</v>
      </c>
      <c r="M24" s="21">
        <v>89000</v>
      </c>
      <c r="N24" s="21">
        <v>61957</v>
      </c>
      <c r="O24" s="21">
        <v>209262</v>
      </c>
      <c r="P24" s="21">
        <v>-9328</v>
      </c>
      <c r="Q24" s="21">
        <v>57484</v>
      </c>
      <c r="R24" s="21">
        <v>-44736</v>
      </c>
      <c r="S24" s="21">
        <v>58402</v>
      </c>
      <c r="T24" s="21">
        <v>8797</v>
      </c>
      <c r="U24" s="21">
        <v>26763</v>
      </c>
      <c r="V24" s="21">
        <v>12172.84</v>
      </c>
      <c r="W24" s="21">
        <v>43679.79</v>
      </c>
      <c r="X24" s="21">
        <v>37116</v>
      </c>
      <c r="Y24" s="21">
        <v>114933</v>
      </c>
      <c r="Z24" s="21">
        <v>12666</v>
      </c>
      <c r="AA24" s="21">
        <v>32334</v>
      </c>
      <c r="AB24" s="21">
        <v>81297</v>
      </c>
      <c r="AC24" s="21">
        <v>337266</v>
      </c>
      <c r="AD24" s="21">
        <v>146423</v>
      </c>
      <c r="AE24" s="21">
        <v>595026</v>
      </c>
      <c r="AF24" s="21">
        <v>53466</v>
      </c>
      <c r="AG24" s="21">
        <v>171441</v>
      </c>
      <c r="AH24" s="21">
        <v>10295</v>
      </c>
      <c r="AI24" s="21">
        <v>103197</v>
      </c>
      <c r="AJ24" s="21">
        <v>44898</v>
      </c>
      <c r="AK24" s="21">
        <v>161370</v>
      </c>
      <c r="AL24" s="21">
        <v>17678</v>
      </c>
      <c r="AM24" s="21">
        <v>56049</v>
      </c>
      <c r="AN24" s="21">
        <v>40565</v>
      </c>
      <c r="AO24" s="21">
        <v>163878</v>
      </c>
      <c r="AP24" s="21">
        <v>231334</v>
      </c>
      <c r="AQ24" s="21">
        <v>860664</v>
      </c>
      <c r="AR24" s="21">
        <v>208832</v>
      </c>
      <c r="AS24" s="21">
        <v>873122</v>
      </c>
      <c r="AT24" s="21">
        <v>131885</v>
      </c>
      <c r="AU24" s="21">
        <v>536696</v>
      </c>
      <c r="AV24" s="21">
        <v>4678</v>
      </c>
      <c r="AW24" s="21">
        <v>11242</v>
      </c>
      <c r="AX24" s="21">
        <v>51899</v>
      </c>
      <c r="AY24" s="21">
        <v>164074</v>
      </c>
      <c r="AZ24" s="21">
        <v>30576</v>
      </c>
      <c r="BA24" s="21">
        <v>40462</v>
      </c>
      <c r="BB24" s="21">
        <v>38958</v>
      </c>
      <c r="BC24" s="21">
        <v>159987</v>
      </c>
      <c r="BD24" s="21">
        <v>28859</v>
      </c>
      <c r="BE24" s="21">
        <v>115035</v>
      </c>
      <c r="BF24" s="21">
        <v>97969</v>
      </c>
      <c r="BG24" s="21">
        <v>428734</v>
      </c>
      <c r="BH24" s="21">
        <v>10514</v>
      </c>
      <c r="BI24" s="21">
        <v>43968</v>
      </c>
      <c r="BJ24" s="21">
        <v>90707</v>
      </c>
      <c r="BK24" s="21">
        <v>280933</v>
      </c>
      <c r="BL24" s="21">
        <v>84432</v>
      </c>
      <c r="BM24" s="21">
        <v>316796</v>
      </c>
      <c r="BN24" s="143">
        <v>153092</v>
      </c>
      <c r="BO24" s="143">
        <v>510719</v>
      </c>
      <c r="BP24" s="21">
        <v>28233</v>
      </c>
      <c r="BQ24" s="21">
        <v>113588</v>
      </c>
      <c r="BR24" s="21">
        <f t="shared" si="0"/>
        <v>2006135.84</v>
      </c>
      <c r="BS24" s="21">
        <f t="shared" si="1"/>
        <v>7550876.79</v>
      </c>
    </row>
    <row r="25" spans="1:71" x14ac:dyDescent="0.25">
      <c r="A25" s="25" t="s">
        <v>79</v>
      </c>
      <c r="B25" s="21"/>
      <c r="C25" s="21"/>
      <c r="D25" s="21"/>
      <c r="E25" s="21"/>
      <c r="F25" s="21"/>
      <c r="G25" s="21"/>
      <c r="H25" s="21">
        <v>3351</v>
      </c>
      <c r="I25" s="21">
        <v>5441</v>
      </c>
      <c r="J25" s="123">
        <v>54896</v>
      </c>
      <c r="K25" s="123">
        <v>125156</v>
      </c>
      <c r="L25" s="21"/>
      <c r="M25" s="21"/>
      <c r="N25" s="21"/>
      <c r="O25" s="21"/>
      <c r="P25" s="21"/>
      <c r="Q25" s="21"/>
      <c r="R25" s="21">
        <v>476</v>
      </c>
      <c r="S25" s="21">
        <v>2226</v>
      </c>
      <c r="T25" s="21">
        <v>1348</v>
      </c>
      <c r="U25" s="21">
        <v>2951</v>
      </c>
      <c r="V25" s="21"/>
      <c r="W25" s="21"/>
      <c r="X25" s="21">
        <v>6903</v>
      </c>
      <c r="Y25" s="21">
        <v>17943</v>
      </c>
      <c r="Z25" s="21">
        <v>11890</v>
      </c>
      <c r="AA25" s="21">
        <v>13868</v>
      </c>
      <c r="AB25" s="21"/>
      <c r="AC25" s="21"/>
      <c r="AD25" s="21"/>
      <c r="AE25" s="21"/>
      <c r="AF25" s="21">
        <v>38420</v>
      </c>
      <c r="AG25" s="21">
        <v>164145</v>
      </c>
      <c r="AH25" s="21"/>
      <c r="AI25" s="21"/>
      <c r="AJ25" s="21"/>
      <c r="AK25" s="21"/>
      <c r="AL25" s="21"/>
      <c r="AM25" s="21"/>
      <c r="AN25" s="21">
        <v>101</v>
      </c>
      <c r="AO25" s="21">
        <v>4358</v>
      </c>
      <c r="AP25" s="21">
        <v>466764</v>
      </c>
      <c r="AQ25" s="21">
        <v>823753</v>
      </c>
      <c r="AR25" s="21">
        <v>199994</v>
      </c>
      <c r="AS25" s="21">
        <v>872378</v>
      </c>
      <c r="AT25" s="21">
        <v>270375</v>
      </c>
      <c r="AU25" s="21">
        <v>273087</v>
      </c>
      <c r="AV25" s="21"/>
      <c r="AW25" s="21"/>
      <c r="AX25" s="21">
        <v>51532</v>
      </c>
      <c r="AY25" s="21">
        <v>124460</v>
      </c>
      <c r="AZ25" s="21"/>
      <c r="BA25" s="21"/>
      <c r="BB25" s="21">
        <v>25</v>
      </c>
      <c r="BC25" s="21">
        <v>39</v>
      </c>
      <c r="BD25" s="21">
        <v>2244</v>
      </c>
      <c r="BE25" s="21">
        <v>4845</v>
      </c>
      <c r="BF25" s="21"/>
      <c r="BG25" s="21"/>
      <c r="BH25" s="21">
        <v>-10101</v>
      </c>
      <c r="BI25" s="21">
        <v>21627</v>
      </c>
      <c r="BJ25" s="21"/>
      <c r="BK25" s="21"/>
      <c r="BL25" s="21">
        <v>16759</v>
      </c>
      <c r="BM25" s="21">
        <v>60678</v>
      </c>
      <c r="BN25" s="143">
        <v>963062</v>
      </c>
      <c r="BO25" s="143">
        <v>2941113</v>
      </c>
      <c r="BP25" s="21"/>
      <c r="BQ25" s="21"/>
      <c r="BR25" s="21">
        <f t="shared" si="0"/>
        <v>2078039</v>
      </c>
      <c r="BS25" s="21">
        <f t="shared" si="1"/>
        <v>5458068</v>
      </c>
    </row>
    <row r="26" spans="1:71" s="15" customFormat="1" x14ac:dyDescent="0.25">
      <c r="A26" s="23" t="s">
        <v>61</v>
      </c>
      <c r="B26" s="24">
        <v>734066</v>
      </c>
      <c r="C26" s="24">
        <v>1634870</v>
      </c>
      <c r="D26" s="24">
        <v>1016696</v>
      </c>
      <c r="E26" s="24">
        <v>2062157</v>
      </c>
      <c r="F26" s="24">
        <v>691510</v>
      </c>
      <c r="G26" s="24">
        <v>2132482</v>
      </c>
      <c r="H26" s="24">
        <v>1201703</v>
      </c>
      <c r="I26" s="24">
        <v>4656969</v>
      </c>
      <c r="J26" s="24">
        <v>5872786</v>
      </c>
      <c r="K26" s="24">
        <v>18071090</v>
      </c>
      <c r="L26" s="24">
        <v>1584080</v>
      </c>
      <c r="M26" s="24">
        <v>5221439</v>
      </c>
      <c r="N26" s="24">
        <v>2412666</v>
      </c>
      <c r="O26" s="24">
        <v>9268816</v>
      </c>
      <c r="P26" s="24">
        <v>693673</v>
      </c>
      <c r="Q26" s="24">
        <v>2936596</v>
      </c>
      <c r="R26" s="24">
        <v>284306</v>
      </c>
      <c r="S26" s="24">
        <v>1299533</v>
      </c>
      <c r="T26" s="24">
        <v>176959</v>
      </c>
      <c r="U26" s="24">
        <v>623696</v>
      </c>
      <c r="V26" s="24">
        <v>1083998.3</v>
      </c>
      <c r="W26" s="24">
        <v>2430484.5699999998</v>
      </c>
      <c r="X26" s="24">
        <v>1699586</v>
      </c>
      <c r="Y26" s="24">
        <v>5825319</v>
      </c>
      <c r="Z26" s="24">
        <v>1704766</v>
      </c>
      <c r="AA26" s="24">
        <v>4132652</v>
      </c>
      <c r="AB26" s="24">
        <v>3181934</v>
      </c>
      <c r="AC26" s="24">
        <v>11313294</v>
      </c>
      <c r="AD26" s="24">
        <v>5851530</v>
      </c>
      <c r="AE26" s="24">
        <v>19897782</v>
      </c>
      <c r="AF26" s="24">
        <v>1774646</v>
      </c>
      <c r="AG26" s="24">
        <v>5569290</v>
      </c>
      <c r="AH26" s="24">
        <v>310899</v>
      </c>
      <c r="AI26" s="24">
        <v>1045339</v>
      </c>
      <c r="AJ26" s="24">
        <v>883337</v>
      </c>
      <c r="AK26" s="24">
        <v>3492848</v>
      </c>
      <c r="AL26" s="24">
        <v>735089</v>
      </c>
      <c r="AM26" s="24">
        <v>2436875</v>
      </c>
      <c r="AN26" s="24">
        <v>1152612</v>
      </c>
      <c r="AO26" s="24">
        <v>3574727</v>
      </c>
      <c r="AP26" s="24">
        <v>6545177</v>
      </c>
      <c r="AQ26" s="24">
        <v>26053884</v>
      </c>
      <c r="AR26" s="24">
        <v>15251466</v>
      </c>
      <c r="AS26" s="24">
        <v>40380400</v>
      </c>
      <c r="AT26" s="24">
        <v>8232955</v>
      </c>
      <c r="AU26" s="24">
        <v>24655194</v>
      </c>
      <c r="AV26" s="24">
        <v>136011</v>
      </c>
      <c r="AW26" s="24">
        <v>367505</v>
      </c>
      <c r="AX26" s="24">
        <v>2810293</v>
      </c>
      <c r="AY26" s="24">
        <v>9746991</v>
      </c>
      <c r="AZ26" s="24">
        <v>323140</v>
      </c>
      <c r="BA26" s="24">
        <v>571416</v>
      </c>
      <c r="BB26" s="24">
        <v>1566967</v>
      </c>
      <c r="BC26" s="24">
        <v>5322293</v>
      </c>
      <c r="BD26" s="24">
        <v>955692</v>
      </c>
      <c r="BE26" s="24">
        <v>4306028</v>
      </c>
      <c r="BF26" s="24">
        <v>1750536</v>
      </c>
      <c r="BG26" s="24">
        <v>5942378</v>
      </c>
      <c r="BH26" s="24">
        <v>801893</v>
      </c>
      <c r="BI26" s="24">
        <v>2828938</v>
      </c>
      <c r="BJ26" s="24">
        <v>3173891</v>
      </c>
      <c r="BK26" s="24">
        <v>9879159</v>
      </c>
      <c r="BL26" s="24">
        <v>3868209</v>
      </c>
      <c r="BM26" s="24">
        <v>14491019</v>
      </c>
      <c r="BN26" s="24">
        <v>10368543</v>
      </c>
      <c r="BO26" s="24">
        <v>30594077</v>
      </c>
      <c r="BP26" s="24">
        <v>812880</v>
      </c>
      <c r="BQ26" s="24">
        <v>2599599</v>
      </c>
      <c r="BR26" s="24">
        <f t="shared" si="0"/>
        <v>89321355.299999997</v>
      </c>
      <c r="BS26" s="24">
        <f t="shared" si="1"/>
        <v>284793723.56999999</v>
      </c>
    </row>
  </sheetData>
  <mergeCells count="35">
    <mergeCell ref="BR3:BS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V3:AW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BL3:BM3"/>
    <mergeCell ref="AZ3:BA3"/>
    <mergeCell ref="BN3:BO3"/>
    <mergeCell ref="BP3:BQ3"/>
    <mergeCell ref="AX3:AY3"/>
    <mergeCell ref="BB3:BC3"/>
    <mergeCell ref="BD3:BE3"/>
    <mergeCell ref="BF3:BG3"/>
    <mergeCell ref="BH3:BI3"/>
    <mergeCell ref="BJ3:B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44"/>
  <sheetViews>
    <sheetView workbookViewId="0">
      <pane xSplit="1" ySplit="3" topLeftCell="B4" activePane="bottomRight" state="frozen"/>
      <selection activeCell="F11" sqref="F11"/>
      <selection pane="topRight" activeCell="F11" sqref="F11"/>
      <selection pane="bottomLeft" activeCell="F11" sqref="F11"/>
      <selection pane="bottomRight" activeCell="B2" sqref="B2"/>
    </sheetView>
  </sheetViews>
  <sheetFormatPr defaultRowHeight="15" x14ac:dyDescent="0.25"/>
  <cols>
    <col min="1" max="1" width="53.5703125" style="4" customWidth="1"/>
    <col min="2" max="36" width="16" style="4" customWidth="1"/>
    <col min="37" max="16384" width="9.140625" style="4"/>
  </cols>
  <sheetData>
    <row r="1" spans="1:67" ht="18.75" x14ac:dyDescent="0.3">
      <c r="A1" s="41" t="s">
        <v>331</v>
      </c>
    </row>
    <row r="2" spans="1:67" x14ac:dyDescent="0.25">
      <c r="A2" s="4" t="s">
        <v>43</v>
      </c>
    </row>
    <row r="3" spans="1:67" s="22" customFormat="1" x14ac:dyDescent="0.25">
      <c r="A3" s="26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03" t="s">
        <v>10</v>
      </c>
      <c r="L3" s="103" t="s">
        <v>11</v>
      </c>
      <c r="M3" s="103" t="s">
        <v>12</v>
      </c>
      <c r="N3" s="103" t="s">
        <v>13</v>
      </c>
      <c r="O3" s="103" t="s">
        <v>14</v>
      </c>
      <c r="P3" s="103" t="s">
        <v>15</v>
      </c>
      <c r="Q3" s="103" t="s">
        <v>16</v>
      </c>
      <c r="R3" s="103" t="s">
        <v>17</v>
      </c>
      <c r="S3" s="103" t="s">
        <v>18</v>
      </c>
      <c r="T3" s="103" t="s">
        <v>19</v>
      </c>
      <c r="U3" s="103" t="s">
        <v>20</v>
      </c>
      <c r="V3" s="103" t="s">
        <v>21</v>
      </c>
      <c r="W3" s="103" t="s">
        <v>147</v>
      </c>
      <c r="X3" s="103" t="s">
        <v>148</v>
      </c>
      <c r="Y3" s="103" t="s">
        <v>22</v>
      </c>
      <c r="Z3" s="103" t="s">
        <v>23</v>
      </c>
      <c r="AA3" s="103" t="s">
        <v>332</v>
      </c>
      <c r="AB3" s="103" t="s">
        <v>24</v>
      </c>
      <c r="AC3" s="103" t="s">
        <v>25</v>
      </c>
      <c r="AD3" s="103" t="s">
        <v>26</v>
      </c>
      <c r="AE3" s="103" t="s">
        <v>27</v>
      </c>
      <c r="AF3" s="103" t="s">
        <v>28</v>
      </c>
      <c r="AG3" s="103" t="s">
        <v>29</v>
      </c>
      <c r="AH3" s="103" t="s">
        <v>30</v>
      </c>
      <c r="AI3" s="103" t="s">
        <v>31</v>
      </c>
      <c r="AJ3" s="103" t="s">
        <v>250</v>
      </c>
    </row>
    <row r="4" spans="1:67" x14ac:dyDescent="0.25">
      <c r="A4" s="21" t="s">
        <v>80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>
        <v>575</v>
      </c>
      <c r="X4" s="21">
        <v>2565</v>
      </c>
      <c r="Y4" s="21"/>
      <c r="Z4" s="21"/>
      <c r="AA4" s="21"/>
      <c r="AB4" s="21"/>
      <c r="AC4" s="21"/>
      <c r="AD4" s="21"/>
      <c r="AE4" s="21"/>
      <c r="AF4" s="21"/>
      <c r="AG4" s="21"/>
      <c r="AH4" s="21">
        <v>13589</v>
      </c>
      <c r="AI4" s="21"/>
      <c r="AJ4" s="21">
        <f>SUM(B4:AI4)</f>
        <v>16729</v>
      </c>
      <c r="BN4" s="22"/>
      <c r="BO4" s="22"/>
    </row>
    <row r="5" spans="1:67" x14ac:dyDescent="0.25">
      <c r="A5" s="21" t="s">
        <v>81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>
        <f t="shared" ref="AJ5:AJ16" si="0">SUM(B5:AI5)</f>
        <v>0</v>
      </c>
      <c r="BN5" s="22"/>
      <c r="BO5" s="22"/>
    </row>
    <row r="6" spans="1:67" x14ac:dyDescent="0.25">
      <c r="A6" s="21" t="s">
        <v>233</v>
      </c>
      <c r="B6" s="21"/>
      <c r="C6" s="21">
        <v>4929735</v>
      </c>
      <c r="D6" s="21"/>
      <c r="E6" s="21">
        <v>2597968</v>
      </c>
      <c r="F6" s="21">
        <v>1666197</v>
      </c>
      <c r="G6" s="21">
        <v>1720185</v>
      </c>
      <c r="H6" s="21">
        <v>1432645</v>
      </c>
      <c r="I6" s="21">
        <v>3271040</v>
      </c>
      <c r="J6" s="21"/>
      <c r="K6" s="21"/>
      <c r="L6" s="21"/>
      <c r="M6" s="21"/>
      <c r="N6" s="21">
        <v>1504348</v>
      </c>
      <c r="O6" s="21">
        <v>8403217</v>
      </c>
      <c r="P6" s="21">
        <v>15700346</v>
      </c>
      <c r="Q6" s="21">
        <v>4519821</v>
      </c>
      <c r="R6" s="21"/>
      <c r="S6" s="21">
        <v>3491250</v>
      </c>
      <c r="T6" s="21">
        <v>1830000</v>
      </c>
      <c r="U6" s="21"/>
      <c r="V6" s="21"/>
      <c r="W6" s="21">
        <v>18962416</v>
      </c>
      <c r="X6" s="21"/>
      <c r="Y6" s="21"/>
      <c r="Z6" s="21">
        <v>7667050</v>
      </c>
      <c r="AA6" s="21"/>
      <c r="AB6" s="21"/>
      <c r="AC6" s="21">
        <v>2550000</v>
      </c>
      <c r="AD6" s="21">
        <v>13326000</v>
      </c>
      <c r="AE6" s="21">
        <v>1393</v>
      </c>
      <c r="AF6" s="21">
        <v>5745592</v>
      </c>
      <c r="AG6" s="21">
        <v>3575000</v>
      </c>
      <c r="AH6" s="21"/>
      <c r="AI6" s="21">
        <v>1676182</v>
      </c>
      <c r="AJ6" s="21">
        <f t="shared" si="0"/>
        <v>104570385</v>
      </c>
      <c r="BN6" s="22"/>
      <c r="BO6" s="22"/>
    </row>
    <row r="7" spans="1:67" x14ac:dyDescent="0.25">
      <c r="A7" s="21" t="s">
        <v>82</v>
      </c>
      <c r="B7" s="21"/>
      <c r="C7" s="21"/>
      <c r="D7" s="21">
        <v>37670953</v>
      </c>
      <c r="E7" s="21"/>
      <c r="F7" s="21"/>
      <c r="G7" s="21"/>
      <c r="H7" s="21">
        <v>5347567</v>
      </c>
      <c r="I7" s="21"/>
      <c r="J7" s="21"/>
      <c r="K7" s="21"/>
      <c r="L7" s="21">
        <v>23310782.899999999</v>
      </c>
      <c r="M7" s="21"/>
      <c r="N7" s="21"/>
      <c r="O7" s="21"/>
      <c r="P7" s="21">
        <v>333642</v>
      </c>
      <c r="Q7" s="21"/>
      <c r="R7" s="21"/>
      <c r="S7" s="21"/>
      <c r="T7" s="21"/>
      <c r="U7" s="21"/>
      <c r="V7" s="21">
        <v>565503</v>
      </c>
      <c r="W7" s="21">
        <v>122249038</v>
      </c>
      <c r="X7" s="21">
        <f>X16-X4</f>
        <v>26627712</v>
      </c>
      <c r="Y7" s="21"/>
      <c r="Z7" s="21"/>
      <c r="AA7" s="21"/>
      <c r="AB7" s="21"/>
      <c r="AC7" s="21"/>
      <c r="AD7" s="21"/>
      <c r="AE7" s="21"/>
      <c r="AF7" s="21"/>
      <c r="AG7" s="21">
        <v>151237</v>
      </c>
      <c r="AH7" s="21">
        <v>27312402</v>
      </c>
      <c r="AI7" s="21"/>
      <c r="AJ7" s="21">
        <f t="shared" si="0"/>
        <v>243568836.90000001</v>
      </c>
      <c r="BN7" s="22"/>
      <c r="BO7" s="22"/>
    </row>
    <row r="8" spans="1:67" ht="30" x14ac:dyDescent="0.25">
      <c r="A8" s="25" t="s">
        <v>217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>
        <v>5797878</v>
      </c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f t="shared" si="0"/>
        <v>5797878</v>
      </c>
      <c r="BN8" s="22"/>
      <c r="BO8" s="22"/>
    </row>
    <row r="9" spans="1:67" x14ac:dyDescent="0.25">
      <c r="A9" s="21" t="s">
        <v>172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>
        <f t="shared" si="0"/>
        <v>0</v>
      </c>
      <c r="BN9" s="22"/>
      <c r="BO9" s="22"/>
    </row>
    <row r="10" spans="1:67" x14ac:dyDescent="0.25">
      <c r="A10" s="21" t="s">
        <v>218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>
        <v>-4966878</v>
      </c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>
        <f t="shared" si="0"/>
        <v>-4966878</v>
      </c>
      <c r="BN10" s="22"/>
      <c r="BO10" s="22"/>
    </row>
    <row r="11" spans="1:67" x14ac:dyDescent="0.25">
      <c r="A11" s="21" t="s">
        <v>219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>
        <v>-4120000</v>
      </c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>
        <f t="shared" si="0"/>
        <v>-4120000</v>
      </c>
      <c r="BN11" s="22"/>
      <c r="BO11" s="22"/>
    </row>
    <row r="12" spans="1:67" x14ac:dyDescent="0.25">
      <c r="A12" s="21" t="s">
        <v>83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>
        <v>1166</v>
      </c>
      <c r="R12" s="21"/>
      <c r="S12" s="21"/>
      <c r="T12" s="21"/>
      <c r="U12" s="21"/>
      <c r="V12" s="21">
        <v>16587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>
        <f t="shared" si="0"/>
        <v>17753</v>
      </c>
      <c r="BN12" s="22"/>
      <c r="BO12" s="22"/>
    </row>
    <row r="13" spans="1:67" x14ac:dyDescent="0.25">
      <c r="A13" s="21" t="s">
        <v>317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>
        <v>130415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>
        <v>156702</v>
      </c>
      <c r="AI13" s="21"/>
      <c r="AJ13" s="21">
        <f t="shared" si="0"/>
        <v>287117</v>
      </c>
      <c r="BN13" s="22"/>
      <c r="BO13" s="22"/>
    </row>
    <row r="14" spans="1:67" x14ac:dyDescent="0.25">
      <c r="A14" s="21" t="s">
        <v>173</v>
      </c>
      <c r="B14" s="21"/>
      <c r="C14" s="21"/>
      <c r="D14" s="21"/>
      <c r="E14" s="21">
        <v>40569</v>
      </c>
      <c r="F14" s="21"/>
      <c r="G14" s="21"/>
      <c r="H14" s="21">
        <v>200000</v>
      </c>
      <c r="I14" s="21"/>
      <c r="J14" s="21"/>
      <c r="K14" s="21"/>
      <c r="L14" s="21">
        <v>600000</v>
      </c>
      <c r="M14" s="21"/>
      <c r="N14" s="21">
        <v>13677</v>
      </c>
      <c r="O14" s="21">
        <v>291600</v>
      </c>
      <c r="P14" s="21">
        <v>242501</v>
      </c>
      <c r="Q14" s="21"/>
      <c r="R14" s="21"/>
      <c r="S14" s="21"/>
      <c r="T14" s="21"/>
      <c r="U14" s="21"/>
      <c r="V14" s="21">
        <f>V16-V13-V12-V7</f>
        <v>14427</v>
      </c>
      <c r="W14" s="21">
        <v>13288314</v>
      </c>
      <c r="X14" s="21"/>
      <c r="Y14" s="21"/>
      <c r="Z14" s="21">
        <v>191667</v>
      </c>
      <c r="AA14" s="21"/>
      <c r="AB14" s="21">
        <v>139887.20000000001</v>
      </c>
      <c r="AC14" s="21"/>
      <c r="AD14" s="21"/>
      <c r="AE14" s="21"/>
      <c r="AF14" s="21">
        <v>125000</v>
      </c>
      <c r="AG14" s="21">
        <v>445000</v>
      </c>
      <c r="AH14" s="21">
        <v>8628</v>
      </c>
      <c r="AI14" s="21"/>
      <c r="AJ14" s="21">
        <f t="shared" si="0"/>
        <v>15601270.199999999</v>
      </c>
      <c r="BN14" s="22"/>
      <c r="BO14" s="22"/>
    </row>
    <row r="15" spans="1:67" x14ac:dyDescent="0.25">
      <c r="A15" s="21" t="s">
        <v>84</v>
      </c>
      <c r="B15" s="21"/>
      <c r="C15" s="21"/>
      <c r="D15" s="21"/>
      <c r="E15" s="21"/>
      <c r="F15" s="21">
        <v>48089148</v>
      </c>
      <c r="G15" s="21"/>
      <c r="H15" s="21">
        <v>4566267</v>
      </c>
      <c r="I15" s="21"/>
      <c r="J15" s="21"/>
      <c r="K15" s="21"/>
      <c r="L15" s="21">
        <v>723331.76</v>
      </c>
      <c r="M15" s="21"/>
      <c r="N15" s="21"/>
      <c r="O15" s="21">
        <v>5074847</v>
      </c>
      <c r="P15" s="21">
        <v>32385018</v>
      </c>
      <c r="Q15" s="21">
        <v>15272404</v>
      </c>
      <c r="R15" s="21"/>
      <c r="S15" s="21"/>
      <c r="T15" s="21"/>
      <c r="U15" s="21"/>
      <c r="V15" s="21"/>
      <c r="W15" s="21"/>
      <c r="X15" s="21"/>
      <c r="Y15" s="21">
        <v>35997</v>
      </c>
      <c r="Z15" s="21">
        <v>5645531</v>
      </c>
      <c r="AA15" s="21"/>
      <c r="AB15" s="21"/>
      <c r="AC15" s="21">
        <v>4417283</v>
      </c>
      <c r="AD15" s="21">
        <v>2757776</v>
      </c>
      <c r="AE15" s="21">
        <v>16834702</v>
      </c>
      <c r="AF15" s="21">
        <v>1003726</v>
      </c>
      <c r="AG15" s="21">
        <v>6773676</v>
      </c>
      <c r="AH15" s="21">
        <v>450000</v>
      </c>
      <c r="AI15" s="21">
        <v>3498510</v>
      </c>
      <c r="AJ15" s="21">
        <f t="shared" si="0"/>
        <v>147528216.75999999</v>
      </c>
      <c r="BN15" s="22"/>
      <c r="BO15" s="22"/>
    </row>
    <row r="16" spans="1:67" s="15" customFormat="1" x14ac:dyDescent="0.25">
      <c r="A16" s="24" t="s">
        <v>61</v>
      </c>
      <c r="B16" s="24"/>
      <c r="C16" s="24">
        <v>4929735</v>
      </c>
      <c r="D16" s="24">
        <v>37670953</v>
      </c>
      <c r="E16" s="24">
        <v>2638537</v>
      </c>
      <c r="F16" s="24">
        <v>49755345</v>
      </c>
      <c r="G16" s="24">
        <v>1720185</v>
      </c>
      <c r="H16" s="24">
        <v>11546479</v>
      </c>
      <c r="I16" s="24">
        <v>3271040</v>
      </c>
      <c r="J16" s="24"/>
      <c r="K16" s="24"/>
      <c r="L16" s="24">
        <v>24634114.66</v>
      </c>
      <c r="M16" s="24"/>
      <c r="N16" s="24">
        <v>1518025</v>
      </c>
      <c r="O16" s="24">
        <v>13769664</v>
      </c>
      <c r="P16" s="24">
        <v>48661507</v>
      </c>
      <c r="Q16" s="24">
        <v>19793391</v>
      </c>
      <c r="R16" s="24"/>
      <c r="S16" s="24">
        <v>3491250</v>
      </c>
      <c r="T16" s="24">
        <v>1830000</v>
      </c>
      <c r="U16" s="24"/>
      <c r="V16" s="24">
        <v>726932</v>
      </c>
      <c r="W16" s="24">
        <v>151211342</v>
      </c>
      <c r="X16" s="24">
        <v>26630277</v>
      </c>
      <c r="Y16" s="24">
        <v>35997</v>
      </c>
      <c r="Z16" s="24">
        <v>13504248</v>
      </c>
      <c r="AA16" s="24"/>
      <c r="AB16" s="24">
        <v>139887.20000000001</v>
      </c>
      <c r="AC16" s="24">
        <v>6967283</v>
      </c>
      <c r="AD16" s="24">
        <v>16083776</v>
      </c>
      <c r="AE16" s="24">
        <v>16836095</v>
      </c>
      <c r="AF16" s="24">
        <v>6874318</v>
      </c>
      <c r="AG16" s="24">
        <v>10944913</v>
      </c>
      <c r="AH16" s="24">
        <v>27941321</v>
      </c>
      <c r="AI16" s="24">
        <v>5174692</v>
      </c>
      <c r="AJ16" s="24">
        <f t="shared" si="0"/>
        <v>508301306.85999995</v>
      </c>
      <c r="BN16" s="22"/>
      <c r="BO16" s="22"/>
    </row>
    <row r="17" spans="66:67" x14ac:dyDescent="0.25">
      <c r="BN17" s="22"/>
      <c r="BO17" s="22"/>
    </row>
    <row r="18" spans="66:67" x14ac:dyDescent="0.25">
      <c r="BN18" s="22"/>
      <c r="BO18" s="22"/>
    </row>
    <row r="19" spans="66:67" x14ac:dyDescent="0.25">
      <c r="BN19" s="22"/>
      <c r="BO19" s="22"/>
    </row>
    <row r="20" spans="66:67" x14ac:dyDescent="0.25">
      <c r="BN20" s="22"/>
      <c r="BO20" s="22"/>
    </row>
    <row r="21" spans="66:67" x14ac:dyDescent="0.25">
      <c r="BN21" s="22"/>
      <c r="BO21" s="22"/>
    </row>
    <row r="22" spans="66:67" x14ac:dyDescent="0.25">
      <c r="BN22" s="22"/>
      <c r="BO22" s="22"/>
    </row>
    <row r="23" spans="66:67" x14ac:dyDescent="0.25">
      <c r="BN23" s="22"/>
      <c r="BO23" s="22"/>
    </row>
    <row r="24" spans="66:67" x14ac:dyDescent="0.25">
      <c r="BN24" s="22"/>
      <c r="BO24" s="22"/>
    </row>
    <row r="25" spans="66:67" x14ac:dyDescent="0.25">
      <c r="BN25" s="22"/>
      <c r="BO25" s="22"/>
    </row>
    <row r="26" spans="66:67" x14ac:dyDescent="0.25">
      <c r="BN26" s="22"/>
      <c r="BO26" s="22"/>
    </row>
    <row r="27" spans="66:67" x14ac:dyDescent="0.25">
      <c r="BN27" s="22"/>
      <c r="BO27" s="22"/>
    </row>
    <row r="28" spans="66:67" x14ac:dyDescent="0.25">
      <c r="BN28" s="22"/>
      <c r="BO28" s="22"/>
    </row>
    <row r="29" spans="66:67" x14ac:dyDescent="0.25">
      <c r="BN29" s="22"/>
      <c r="BO29" s="22"/>
    </row>
    <row r="30" spans="66:67" x14ac:dyDescent="0.25">
      <c r="BN30" s="22"/>
      <c r="BO30" s="22"/>
    </row>
    <row r="31" spans="66:67" x14ac:dyDescent="0.25">
      <c r="BN31" s="22"/>
      <c r="BO31" s="22"/>
    </row>
    <row r="32" spans="66:67" x14ac:dyDescent="0.25">
      <c r="BN32" s="22"/>
      <c r="BO32" s="22"/>
    </row>
    <row r="33" spans="66:67" x14ac:dyDescent="0.25">
      <c r="BN33" s="22"/>
      <c r="BO33" s="22"/>
    </row>
    <row r="34" spans="66:67" x14ac:dyDescent="0.25">
      <c r="BN34" s="22"/>
      <c r="BO34" s="22"/>
    </row>
    <row r="35" spans="66:67" x14ac:dyDescent="0.25">
      <c r="BN35" s="22"/>
      <c r="BO35" s="22"/>
    </row>
    <row r="36" spans="66:67" x14ac:dyDescent="0.25">
      <c r="BN36" s="22"/>
      <c r="BO36" s="22"/>
    </row>
    <row r="37" spans="66:67" x14ac:dyDescent="0.25">
      <c r="BN37" s="22"/>
      <c r="BO37" s="22"/>
    </row>
    <row r="38" spans="66:67" x14ac:dyDescent="0.25">
      <c r="BN38" s="22"/>
      <c r="BO38" s="22"/>
    </row>
    <row r="39" spans="66:67" x14ac:dyDescent="0.25">
      <c r="BN39" s="22"/>
      <c r="BO39" s="22"/>
    </row>
    <row r="40" spans="66:67" x14ac:dyDescent="0.25">
      <c r="BN40" s="22"/>
      <c r="BO40" s="22"/>
    </row>
    <row r="41" spans="66:67" x14ac:dyDescent="0.25">
      <c r="BN41" s="22"/>
      <c r="BO41" s="22"/>
    </row>
    <row r="42" spans="66:67" x14ac:dyDescent="0.25">
      <c r="BN42" s="22"/>
      <c r="BO42" s="22"/>
    </row>
    <row r="43" spans="66:67" x14ac:dyDescent="0.25">
      <c r="BN43" s="22"/>
      <c r="BO43" s="22"/>
    </row>
    <row r="44" spans="66:67" x14ac:dyDescent="0.25">
      <c r="BN44" s="22"/>
      <c r="BO44" s="22"/>
    </row>
    <row r="45" spans="66:67" x14ac:dyDescent="0.25">
      <c r="BN45" s="22"/>
      <c r="BO45" s="22"/>
    </row>
    <row r="46" spans="66:67" x14ac:dyDescent="0.25">
      <c r="BN46" s="22"/>
      <c r="BO46" s="22"/>
    </row>
    <row r="47" spans="66:67" x14ac:dyDescent="0.25">
      <c r="BN47" s="22"/>
      <c r="BO47" s="22"/>
    </row>
    <row r="48" spans="66:67" x14ac:dyDescent="0.25">
      <c r="BN48" s="22"/>
      <c r="BO48" s="22"/>
    </row>
    <row r="49" spans="66:67" x14ac:dyDescent="0.25">
      <c r="BN49" s="22"/>
      <c r="BO49" s="22"/>
    </row>
    <row r="50" spans="66:67" x14ac:dyDescent="0.25">
      <c r="BN50" s="22"/>
      <c r="BO50" s="22"/>
    </row>
    <row r="51" spans="66:67" x14ac:dyDescent="0.25">
      <c r="BN51" s="22"/>
      <c r="BO51" s="22"/>
    </row>
    <row r="52" spans="66:67" x14ac:dyDescent="0.25">
      <c r="BN52" s="22"/>
      <c r="BO52" s="22"/>
    </row>
    <row r="53" spans="66:67" x14ac:dyDescent="0.25">
      <c r="BN53" s="22"/>
      <c r="BO53" s="22"/>
    </row>
    <row r="54" spans="66:67" x14ac:dyDescent="0.25">
      <c r="BN54" s="22"/>
      <c r="BO54" s="22"/>
    </row>
    <row r="55" spans="66:67" x14ac:dyDescent="0.25">
      <c r="BN55" s="22"/>
      <c r="BO55" s="22"/>
    </row>
    <row r="56" spans="66:67" x14ac:dyDescent="0.25">
      <c r="BN56" s="22"/>
      <c r="BO56" s="22"/>
    </row>
    <row r="57" spans="66:67" x14ac:dyDescent="0.25">
      <c r="BN57" s="22"/>
      <c r="BO57" s="22"/>
    </row>
    <row r="58" spans="66:67" x14ac:dyDescent="0.25">
      <c r="BN58" s="22"/>
      <c r="BO58" s="22"/>
    </row>
    <row r="59" spans="66:67" x14ac:dyDescent="0.25">
      <c r="BN59" s="22"/>
      <c r="BO59" s="22"/>
    </row>
    <row r="60" spans="66:67" x14ac:dyDescent="0.25">
      <c r="BN60" s="22"/>
      <c r="BO60" s="22"/>
    </row>
    <row r="61" spans="66:67" x14ac:dyDescent="0.25">
      <c r="BN61" s="22"/>
      <c r="BO61" s="22"/>
    </row>
    <row r="62" spans="66:67" x14ac:dyDescent="0.25">
      <c r="BN62" s="22"/>
      <c r="BO62" s="22"/>
    </row>
    <row r="63" spans="66:67" x14ac:dyDescent="0.25">
      <c r="BN63" s="22"/>
      <c r="BO63" s="22"/>
    </row>
    <row r="64" spans="66:67" x14ac:dyDescent="0.25">
      <c r="BN64" s="22"/>
      <c r="BO64" s="22"/>
    </row>
    <row r="65" spans="66:67" x14ac:dyDescent="0.25">
      <c r="BN65" s="22"/>
      <c r="BO65" s="22"/>
    </row>
    <row r="66" spans="66:67" x14ac:dyDescent="0.25">
      <c r="BN66" s="22"/>
      <c r="BO66" s="22"/>
    </row>
    <row r="67" spans="66:67" x14ac:dyDescent="0.25">
      <c r="BN67" s="22"/>
      <c r="BO67" s="22"/>
    </row>
    <row r="68" spans="66:67" x14ac:dyDescent="0.25">
      <c r="BN68" s="22"/>
      <c r="BO68" s="22"/>
    </row>
    <row r="69" spans="66:67" x14ac:dyDescent="0.25">
      <c r="BN69" s="22"/>
      <c r="BO69" s="22"/>
    </row>
    <row r="70" spans="66:67" x14ac:dyDescent="0.25">
      <c r="BN70" s="22"/>
      <c r="BO70" s="22"/>
    </row>
    <row r="71" spans="66:67" x14ac:dyDescent="0.25">
      <c r="BN71" s="22"/>
      <c r="BO71" s="22"/>
    </row>
    <row r="72" spans="66:67" x14ac:dyDescent="0.25">
      <c r="BN72" s="22"/>
      <c r="BO72" s="22"/>
    </row>
    <row r="73" spans="66:67" x14ac:dyDescent="0.25">
      <c r="BN73" s="22"/>
      <c r="BO73" s="22"/>
    </row>
    <row r="74" spans="66:67" x14ac:dyDescent="0.25">
      <c r="BN74" s="22"/>
      <c r="BO74" s="22"/>
    </row>
    <row r="75" spans="66:67" x14ac:dyDescent="0.25">
      <c r="BN75" s="22"/>
      <c r="BO75" s="22"/>
    </row>
    <row r="76" spans="66:67" x14ac:dyDescent="0.25">
      <c r="BN76" s="22"/>
      <c r="BO76" s="22"/>
    </row>
    <row r="77" spans="66:67" x14ac:dyDescent="0.25">
      <c r="BN77" s="22"/>
      <c r="BO77" s="22"/>
    </row>
    <row r="78" spans="66:67" x14ac:dyDescent="0.25">
      <c r="BN78" s="22"/>
      <c r="BO78" s="22"/>
    </row>
    <row r="79" spans="66:67" x14ac:dyDescent="0.25">
      <c r="BN79" s="22"/>
      <c r="BO79" s="22"/>
    </row>
    <row r="80" spans="66:67" x14ac:dyDescent="0.25">
      <c r="BN80" s="22"/>
      <c r="BO80" s="22"/>
    </row>
    <row r="81" spans="66:67" x14ac:dyDescent="0.25">
      <c r="BN81" s="22"/>
      <c r="BO81" s="22"/>
    </row>
    <row r="82" spans="66:67" x14ac:dyDescent="0.25">
      <c r="BN82" s="22"/>
      <c r="BO82" s="22"/>
    </row>
    <row r="83" spans="66:67" x14ac:dyDescent="0.25">
      <c r="BN83" s="22"/>
      <c r="BO83" s="22"/>
    </row>
    <row r="84" spans="66:67" x14ac:dyDescent="0.25">
      <c r="BN84" s="22"/>
      <c r="BO84" s="22"/>
    </row>
    <row r="85" spans="66:67" x14ac:dyDescent="0.25">
      <c r="BN85" s="22"/>
      <c r="BO85" s="22"/>
    </row>
    <row r="86" spans="66:67" x14ac:dyDescent="0.25">
      <c r="BN86" s="22"/>
      <c r="BO86" s="22"/>
    </row>
    <row r="87" spans="66:67" x14ac:dyDescent="0.25">
      <c r="BN87" s="22"/>
      <c r="BO87" s="22"/>
    </row>
    <row r="88" spans="66:67" x14ac:dyDescent="0.25">
      <c r="BN88" s="22"/>
      <c r="BO88" s="22"/>
    </row>
    <row r="89" spans="66:67" x14ac:dyDescent="0.25">
      <c r="BN89" s="22"/>
      <c r="BO89" s="22"/>
    </row>
    <row r="90" spans="66:67" x14ac:dyDescent="0.25">
      <c r="BN90" s="22"/>
      <c r="BO90" s="22"/>
    </row>
    <row r="91" spans="66:67" x14ac:dyDescent="0.25">
      <c r="BN91" s="22"/>
      <c r="BO91" s="22"/>
    </row>
    <row r="92" spans="66:67" x14ac:dyDescent="0.25">
      <c r="BN92" s="22"/>
      <c r="BO92" s="22"/>
    </row>
    <row r="93" spans="66:67" x14ac:dyDescent="0.25">
      <c r="BN93" s="22"/>
      <c r="BO93" s="22"/>
    </row>
    <row r="94" spans="66:67" x14ac:dyDescent="0.25">
      <c r="BN94" s="22"/>
      <c r="BO94" s="22"/>
    </row>
    <row r="95" spans="66:67" x14ac:dyDescent="0.25">
      <c r="BN95" s="22"/>
      <c r="BO95" s="22"/>
    </row>
    <row r="96" spans="66:67" x14ac:dyDescent="0.25">
      <c r="BN96" s="22"/>
      <c r="BO96" s="22"/>
    </row>
    <row r="97" spans="66:67" x14ac:dyDescent="0.25">
      <c r="BN97" s="22"/>
      <c r="BO97" s="22"/>
    </row>
    <row r="98" spans="66:67" x14ac:dyDescent="0.25">
      <c r="BN98" s="22"/>
      <c r="BO98" s="22"/>
    </row>
    <row r="99" spans="66:67" x14ac:dyDescent="0.25">
      <c r="BN99" s="22"/>
      <c r="BO99" s="22"/>
    </row>
    <row r="100" spans="66:67" x14ac:dyDescent="0.25">
      <c r="BN100" s="22"/>
      <c r="BO100" s="22"/>
    </row>
    <row r="101" spans="66:67" x14ac:dyDescent="0.25">
      <c r="BN101" s="22"/>
      <c r="BO101" s="22"/>
    </row>
    <row r="102" spans="66:67" x14ac:dyDescent="0.25">
      <c r="BN102" s="22"/>
      <c r="BO102" s="22"/>
    </row>
    <row r="103" spans="66:67" x14ac:dyDescent="0.25">
      <c r="BN103" s="22"/>
      <c r="BO103" s="22"/>
    </row>
    <row r="104" spans="66:67" x14ac:dyDescent="0.25">
      <c r="BN104" s="22"/>
      <c r="BO104" s="22"/>
    </row>
    <row r="105" spans="66:67" x14ac:dyDescent="0.25">
      <c r="BN105" s="22"/>
      <c r="BO105" s="22"/>
    </row>
    <row r="106" spans="66:67" x14ac:dyDescent="0.25">
      <c r="BN106" s="22"/>
      <c r="BO106" s="22"/>
    </row>
    <row r="107" spans="66:67" x14ac:dyDescent="0.25">
      <c r="BN107" s="22"/>
      <c r="BO107" s="22"/>
    </row>
    <row r="108" spans="66:67" x14ac:dyDescent="0.25">
      <c r="BN108" s="22"/>
      <c r="BO108" s="22"/>
    </row>
    <row r="109" spans="66:67" x14ac:dyDescent="0.25">
      <c r="BN109" s="22"/>
      <c r="BO109" s="22"/>
    </row>
    <row r="110" spans="66:67" x14ac:dyDescent="0.25">
      <c r="BN110" s="22"/>
      <c r="BO110" s="22"/>
    </row>
    <row r="111" spans="66:67" x14ac:dyDescent="0.25">
      <c r="BN111" s="22"/>
      <c r="BO111" s="22"/>
    </row>
    <row r="112" spans="66:67" x14ac:dyDescent="0.25">
      <c r="BN112" s="22"/>
      <c r="BO112" s="22"/>
    </row>
    <row r="113" spans="66:67" x14ac:dyDescent="0.25">
      <c r="BN113" s="22"/>
      <c r="BO113" s="22"/>
    </row>
    <row r="114" spans="66:67" x14ac:dyDescent="0.25">
      <c r="BN114" s="22"/>
      <c r="BO114" s="22"/>
    </row>
    <row r="115" spans="66:67" x14ac:dyDescent="0.25">
      <c r="BN115" s="22"/>
      <c r="BO115" s="22"/>
    </row>
    <row r="116" spans="66:67" x14ac:dyDescent="0.25">
      <c r="BN116" s="22"/>
      <c r="BO116" s="22"/>
    </row>
    <row r="117" spans="66:67" x14ac:dyDescent="0.25">
      <c r="BN117" s="22"/>
      <c r="BO117" s="22"/>
    </row>
    <row r="118" spans="66:67" x14ac:dyDescent="0.25">
      <c r="BN118" s="22"/>
      <c r="BO118" s="22"/>
    </row>
    <row r="119" spans="66:67" x14ac:dyDescent="0.25">
      <c r="BN119" s="22"/>
      <c r="BO119" s="22"/>
    </row>
    <row r="120" spans="66:67" x14ac:dyDescent="0.25">
      <c r="BN120" s="22"/>
      <c r="BO120" s="22"/>
    </row>
    <row r="121" spans="66:67" x14ac:dyDescent="0.25">
      <c r="BN121" s="22"/>
      <c r="BO121" s="22"/>
    </row>
    <row r="122" spans="66:67" x14ac:dyDescent="0.25">
      <c r="BN122" s="22"/>
      <c r="BO122" s="22"/>
    </row>
    <row r="123" spans="66:67" x14ac:dyDescent="0.25">
      <c r="BN123" s="22"/>
      <c r="BO123" s="22"/>
    </row>
    <row r="124" spans="66:67" x14ac:dyDescent="0.25">
      <c r="BN124" s="22"/>
      <c r="BO124" s="22"/>
    </row>
    <row r="125" spans="66:67" x14ac:dyDescent="0.25">
      <c r="BN125" s="22"/>
      <c r="BO125" s="22"/>
    </row>
    <row r="126" spans="66:67" x14ac:dyDescent="0.25">
      <c r="BN126" s="22"/>
      <c r="BO126" s="22"/>
    </row>
    <row r="127" spans="66:67" x14ac:dyDescent="0.25">
      <c r="BN127" s="22"/>
      <c r="BO127" s="22"/>
    </row>
    <row r="128" spans="66:67" x14ac:dyDescent="0.25">
      <c r="BN128" s="22"/>
      <c r="BO128" s="22"/>
    </row>
    <row r="129" spans="66:67" x14ac:dyDescent="0.25">
      <c r="BN129" s="22"/>
      <c r="BO129" s="22"/>
    </row>
    <row r="130" spans="66:67" x14ac:dyDescent="0.25">
      <c r="BN130" s="22"/>
      <c r="BO130" s="22"/>
    </row>
    <row r="131" spans="66:67" x14ac:dyDescent="0.25">
      <c r="BN131" s="22"/>
      <c r="BO131" s="22"/>
    </row>
    <row r="132" spans="66:67" x14ac:dyDescent="0.25">
      <c r="BN132" s="22"/>
      <c r="BO132" s="22"/>
    </row>
    <row r="133" spans="66:67" x14ac:dyDescent="0.25">
      <c r="BN133" s="22"/>
      <c r="BO133" s="22"/>
    </row>
    <row r="134" spans="66:67" x14ac:dyDescent="0.25">
      <c r="BN134" s="22"/>
      <c r="BO134" s="22"/>
    </row>
    <row r="135" spans="66:67" x14ac:dyDescent="0.25">
      <c r="BN135" s="22"/>
      <c r="BO135" s="22"/>
    </row>
    <row r="136" spans="66:67" x14ac:dyDescent="0.25">
      <c r="BN136" s="22"/>
      <c r="BO136" s="22"/>
    </row>
    <row r="137" spans="66:67" x14ac:dyDescent="0.25">
      <c r="BN137" s="22"/>
      <c r="BO137" s="22"/>
    </row>
    <row r="138" spans="66:67" x14ac:dyDescent="0.25">
      <c r="BN138" s="22"/>
      <c r="BO138" s="22"/>
    </row>
    <row r="139" spans="66:67" x14ac:dyDescent="0.25">
      <c r="BN139" s="22"/>
      <c r="BO139" s="22"/>
    </row>
    <row r="140" spans="66:67" x14ac:dyDescent="0.25">
      <c r="BN140" s="22"/>
      <c r="BO140" s="22"/>
    </row>
    <row r="141" spans="66:67" x14ac:dyDescent="0.25">
      <c r="BN141" s="22"/>
      <c r="BO141" s="22"/>
    </row>
    <row r="142" spans="66:67" x14ac:dyDescent="0.25">
      <c r="BN142" s="22"/>
      <c r="BO142" s="22"/>
    </row>
    <row r="143" spans="66:67" x14ac:dyDescent="0.25">
      <c r="BN143" s="22"/>
      <c r="BO143" s="22"/>
    </row>
    <row r="144" spans="66:67" x14ac:dyDescent="0.25">
      <c r="BN144" s="22"/>
      <c r="BO144" s="22"/>
    </row>
    <row r="145" spans="66:67" x14ac:dyDescent="0.25">
      <c r="BN145" s="22"/>
      <c r="BO145" s="22"/>
    </row>
    <row r="146" spans="66:67" x14ac:dyDescent="0.25">
      <c r="BN146" s="22"/>
      <c r="BO146" s="22"/>
    </row>
    <row r="147" spans="66:67" x14ac:dyDescent="0.25">
      <c r="BN147" s="22"/>
      <c r="BO147" s="22"/>
    </row>
    <row r="148" spans="66:67" x14ac:dyDescent="0.25">
      <c r="BN148" s="22"/>
      <c r="BO148" s="22"/>
    </row>
    <row r="149" spans="66:67" x14ac:dyDescent="0.25">
      <c r="BN149" s="22"/>
      <c r="BO149" s="22"/>
    </row>
    <row r="150" spans="66:67" x14ac:dyDescent="0.25">
      <c r="BN150" s="22"/>
      <c r="BO150" s="22"/>
    </row>
    <row r="151" spans="66:67" x14ac:dyDescent="0.25">
      <c r="BN151" s="22"/>
      <c r="BO151" s="22"/>
    </row>
    <row r="152" spans="66:67" x14ac:dyDescent="0.25">
      <c r="BN152" s="22"/>
      <c r="BO152" s="22"/>
    </row>
    <row r="153" spans="66:67" x14ac:dyDescent="0.25">
      <c r="BN153" s="22"/>
      <c r="BO153" s="22"/>
    </row>
    <row r="154" spans="66:67" x14ac:dyDescent="0.25">
      <c r="BN154" s="22"/>
      <c r="BO154" s="22"/>
    </row>
    <row r="155" spans="66:67" x14ac:dyDescent="0.25">
      <c r="BN155" s="22"/>
      <c r="BO155" s="22"/>
    </row>
    <row r="156" spans="66:67" x14ac:dyDescent="0.25">
      <c r="BN156" s="22"/>
      <c r="BO156" s="22"/>
    </row>
    <row r="157" spans="66:67" x14ac:dyDescent="0.25">
      <c r="BN157" s="22"/>
      <c r="BO157" s="22"/>
    </row>
    <row r="158" spans="66:67" x14ac:dyDescent="0.25">
      <c r="BN158" s="22"/>
      <c r="BO158" s="22"/>
    </row>
    <row r="159" spans="66:67" x14ac:dyDescent="0.25">
      <c r="BN159" s="22"/>
      <c r="BO159" s="22"/>
    </row>
    <row r="160" spans="66:67" x14ac:dyDescent="0.25">
      <c r="BN160" s="22"/>
      <c r="BO160" s="22"/>
    </row>
    <row r="161" spans="66:67" x14ac:dyDescent="0.25">
      <c r="BN161" s="22"/>
      <c r="BO161" s="22"/>
    </row>
    <row r="162" spans="66:67" x14ac:dyDescent="0.25">
      <c r="BN162" s="22"/>
      <c r="BO162" s="22"/>
    </row>
    <row r="163" spans="66:67" x14ac:dyDescent="0.25">
      <c r="BN163" s="22"/>
      <c r="BO163" s="22"/>
    </row>
    <row r="164" spans="66:67" x14ac:dyDescent="0.25">
      <c r="BN164" s="22"/>
      <c r="BO164" s="22"/>
    </row>
    <row r="165" spans="66:67" x14ac:dyDescent="0.25">
      <c r="BN165" s="22"/>
      <c r="BO165" s="22"/>
    </row>
    <row r="166" spans="66:67" x14ac:dyDescent="0.25">
      <c r="BN166" s="22"/>
      <c r="BO166" s="22"/>
    </row>
    <row r="167" spans="66:67" x14ac:dyDescent="0.25">
      <c r="BN167" s="22"/>
      <c r="BO167" s="22"/>
    </row>
    <row r="168" spans="66:67" x14ac:dyDescent="0.25">
      <c r="BN168" s="22"/>
      <c r="BO168" s="22"/>
    </row>
    <row r="169" spans="66:67" x14ac:dyDescent="0.25">
      <c r="BN169" s="22"/>
      <c r="BO169" s="22"/>
    </row>
    <row r="170" spans="66:67" x14ac:dyDescent="0.25">
      <c r="BN170" s="22"/>
      <c r="BO170" s="22"/>
    </row>
    <row r="171" spans="66:67" x14ac:dyDescent="0.25">
      <c r="BN171" s="22"/>
      <c r="BO171" s="22"/>
    </row>
    <row r="172" spans="66:67" x14ac:dyDescent="0.25">
      <c r="BN172" s="22"/>
      <c r="BO172" s="22"/>
    </row>
    <row r="173" spans="66:67" x14ac:dyDescent="0.25">
      <c r="BN173" s="22"/>
      <c r="BO173" s="22"/>
    </row>
    <row r="174" spans="66:67" x14ac:dyDescent="0.25">
      <c r="BN174" s="22"/>
      <c r="BO174" s="22"/>
    </row>
    <row r="175" spans="66:67" x14ac:dyDescent="0.25">
      <c r="BN175" s="22"/>
      <c r="BO175" s="22"/>
    </row>
    <row r="176" spans="66:67" x14ac:dyDescent="0.25">
      <c r="BN176" s="22"/>
      <c r="BO176" s="22"/>
    </row>
    <row r="177" spans="66:67" x14ac:dyDescent="0.25">
      <c r="BN177" s="22"/>
      <c r="BO177" s="22"/>
    </row>
    <row r="178" spans="66:67" x14ac:dyDescent="0.25">
      <c r="BN178" s="22"/>
      <c r="BO178" s="22"/>
    </row>
    <row r="179" spans="66:67" x14ac:dyDescent="0.25">
      <c r="BN179" s="22"/>
      <c r="BO179" s="22"/>
    </row>
    <row r="180" spans="66:67" x14ac:dyDescent="0.25">
      <c r="BN180" s="22"/>
      <c r="BO180" s="22"/>
    </row>
    <row r="181" spans="66:67" x14ac:dyDescent="0.25">
      <c r="BN181" s="22"/>
      <c r="BO181" s="22"/>
    </row>
    <row r="182" spans="66:67" x14ac:dyDescent="0.25">
      <c r="BN182" s="22"/>
      <c r="BO182" s="22"/>
    </row>
    <row r="183" spans="66:67" x14ac:dyDescent="0.25">
      <c r="BN183" s="22"/>
      <c r="BO183" s="22"/>
    </row>
    <row r="184" spans="66:67" x14ac:dyDescent="0.25">
      <c r="BN184" s="22"/>
      <c r="BO184" s="22"/>
    </row>
    <row r="185" spans="66:67" x14ac:dyDescent="0.25">
      <c r="BN185" s="22"/>
      <c r="BO185" s="22"/>
    </row>
    <row r="186" spans="66:67" x14ac:dyDescent="0.25">
      <c r="BN186" s="22"/>
      <c r="BO186" s="22"/>
    </row>
    <row r="187" spans="66:67" x14ac:dyDescent="0.25">
      <c r="BN187" s="22"/>
      <c r="BO187" s="22"/>
    </row>
    <row r="188" spans="66:67" x14ac:dyDescent="0.25">
      <c r="BN188" s="22"/>
      <c r="BO188" s="22"/>
    </row>
    <row r="189" spans="66:67" x14ac:dyDescent="0.25">
      <c r="BN189" s="22"/>
      <c r="BO189" s="22"/>
    </row>
    <row r="190" spans="66:67" x14ac:dyDescent="0.25">
      <c r="BN190" s="22"/>
      <c r="BO190" s="22"/>
    </row>
    <row r="191" spans="66:67" x14ac:dyDescent="0.25">
      <c r="BN191" s="22"/>
      <c r="BO191" s="22"/>
    </row>
    <row r="192" spans="66:67" x14ac:dyDescent="0.25">
      <c r="BN192" s="22"/>
      <c r="BO192" s="22"/>
    </row>
    <row r="193" spans="66:67" x14ac:dyDescent="0.25">
      <c r="BN193" s="22"/>
      <c r="BO193" s="22"/>
    </row>
    <row r="194" spans="66:67" x14ac:dyDescent="0.25">
      <c r="BN194" s="22"/>
      <c r="BO194" s="22"/>
    </row>
    <row r="195" spans="66:67" x14ac:dyDescent="0.25">
      <c r="BN195" s="22"/>
      <c r="BO195" s="22"/>
    </row>
    <row r="196" spans="66:67" x14ac:dyDescent="0.25">
      <c r="BN196" s="22"/>
      <c r="BO196" s="22"/>
    </row>
    <row r="197" spans="66:67" x14ac:dyDescent="0.25">
      <c r="BN197" s="22"/>
      <c r="BO197" s="22"/>
    </row>
    <row r="198" spans="66:67" x14ac:dyDescent="0.25">
      <c r="BN198" s="22"/>
      <c r="BO198" s="22"/>
    </row>
    <row r="199" spans="66:67" x14ac:dyDescent="0.25">
      <c r="BN199" s="22"/>
      <c r="BO199" s="22"/>
    </row>
    <row r="200" spans="66:67" x14ac:dyDescent="0.25">
      <c r="BN200" s="22"/>
      <c r="BO200" s="22"/>
    </row>
    <row r="201" spans="66:67" x14ac:dyDescent="0.25">
      <c r="BN201" s="22"/>
      <c r="BO201" s="22"/>
    </row>
    <row r="202" spans="66:67" x14ac:dyDescent="0.25">
      <c r="BN202" s="22"/>
      <c r="BO202" s="22"/>
    </row>
    <row r="203" spans="66:67" x14ac:dyDescent="0.25">
      <c r="BN203" s="22"/>
      <c r="BO203" s="22"/>
    </row>
    <row r="204" spans="66:67" x14ac:dyDescent="0.25">
      <c r="BN204" s="22"/>
      <c r="BO204" s="22"/>
    </row>
    <row r="205" spans="66:67" x14ac:dyDescent="0.25">
      <c r="BN205" s="22"/>
      <c r="BO205" s="22"/>
    </row>
    <row r="206" spans="66:67" x14ac:dyDescent="0.25">
      <c r="BN206" s="22"/>
      <c r="BO206" s="22"/>
    </row>
    <row r="207" spans="66:67" x14ac:dyDescent="0.25">
      <c r="BN207" s="22"/>
      <c r="BO207" s="22"/>
    </row>
    <row r="208" spans="66:67" x14ac:dyDescent="0.25">
      <c r="BN208" s="22"/>
      <c r="BO208" s="22"/>
    </row>
    <row r="209" spans="66:67" x14ac:dyDescent="0.25">
      <c r="BN209" s="22"/>
      <c r="BO209" s="22"/>
    </row>
    <row r="210" spans="66:67" x14ac:dyDescent="0.25">
      <c r="BN210" s="22"/>
      <c r="BO210" s="22"/>
    </row>
    <row r="211" spans="66:67" x14ac:dyDescent="0.25">
      <c r="BN211" s="22"/>
      <c r="BO211" s="22"/>
    </row>
    <row r="212" spans="66:67" x14ac:dyDescent="0.25">
      <c r="BN212" s="22"/>
      <c r="BO212" s="22"/>
    </row>
    <row r="213" spans="66:67" x14ac:dyDescent="0.25">
      <c r="BN213" s="22"/>
      <c r="BO213" s="22"/>
    </row>
    <row r="214" spans="66:67" x14ac:dyDescent="0.25">
      <c r="BN214" s="22"/>
      <c r="BO214" s="22"/>
    </row>
    <row r="215" spans="66:67" x14ac:dyDescent="0.25">
      <c r="BN215" s="22"/>
      <c r="BO215" s="22"/>
    </row>
    <row r="216" spans="66:67" x14ac:dyDescent="0.25">
      <c r="BN216" s="22"/>
      <c r="BO216" s="22"/>
    </row>
    <row r="217" spans="66:67" x14ac:dyDescent="0.25">
      <c r="BN217" s="22"/>
      <c r="BO217" s="22"/>
    </row>
    <row r="218" spans="66:67" x14ac:dyDescent="0.25">
      <c r="BN218" s="22"/>
      <c r="BO218" s="22"/>
    </row>
    <row r="219" spans="66:67" x14ac:dyDescent="0.25">
      <c r="BN219" s="22"/>
      <c r="BO219" s="22"/>
    </row>
    <row r="220" spans="66:67" x14ac:dyDescent="0.25">
      <c r="BN220" s="22"/>
      <c r="BO220" s="22"/>
    </row>
    <row r="221" spans="66:67" x14ac:dyDescent="0.25">
      <c r="BN221" s="22"/>
      <c r="BO221" s="22"/>
    </row>
    <row r="222" spans="66:67" x14ac:dyDescent="0.25">
      <c r="BN222" s="22"/>
      <c r="BO222" s="22"/>
    </row>
    <row r="223" spans="66:67" x14ac:dyDescent="0.25">
      <c r="BN223" s="22"/>
      <c r="BO223" s="22"/>
    </row>
    <row r="224" spans="66:67" x14ac:dyDescent="0.25">
      <c r="BN224" s="22"/>
      <c r="BO224" s="22"/>
    </row>
    <row r="225" spans="66:67" x14ac:dyDescent="0.25">
      <c r="BN225" s="22"/>
      <c r="BO225" s="22"/>
    </row>
    <row r="226" spans="66:67" x14ac:dyDescent="0.25">
      <c r="BN226" s="22"/>
      <c r="BO226" s="22"/>
    </row>
    <row r="227" spans="66:67" x14ac:dyDescent="0.25">
      <c r="BN227" s="22"/>
      <c r="BO227" s="22"/>
    </row>
    <row r="228" spans="66:67" x14ac:dyDescent="0.25">
      <c r="BN228" s="22"/>
      <c r="BO228" s="22"/>
    </row>
    <row r="229" spans="66:67" x14ac:dyDescent="0.25">
      <c r="BN229" s="22"/>
      <c r="BO229" s="22"/>
    </row>
    <row r="230" spans="66:67" x14ac:dyDescent="0.25">
      <c r="BN230" s="22"/>
      <c r="BO230" s="22"/>
    </row>
    <row r="231" spans="66:67" x14ac:dyDescent="0.25">
      <c r="BN231" s="22"/>
      <c r="BO231" s="22"/>
    </row>
    <row r="232" spans="66:67" x14ac:dyDescent="0.25">
      <c r="BN232" s="22"/>
      <c r="BO232" s="22"/>
    </row>
    <row r="233" spans="66:67" x14ac:dyDescent="0.25">
      <c r="BN233" s="22"/>
      <c r="BO233" s="22"/>
    </row>
    <row r="234" spans="66:67" x14ac:dyDescent="0.25">
      <c r="BN234" s="22"/>
      <c r="BO234" s="22"/>
    </row>
    <row r="235" spans="66:67" x14ac:dyDescent="0.25">
      <c r="BN235" s="22"/>
      <c r="BO235" s="22"/>
    </row>
    <row r="236" spans="66:67" x14ac:dyDescent="0.25">
      <c r="BN236" s="22"/>
      <c r="BO236" s="22"/>
    </row>
    <row r="237" spans="66:67" x14ac:dyDescent="0.25">
      <c r="BN237" s="22"/>
      <c r="BO237" s="22"/>
    </row>
    <row r="238" spans="66:67" x14ac:dyDescent="0.25">
      <c r="BN238" s="22"/>
      <c r="BO238" s="22"/>
    </row>
    <row r="239" spans="66:67" x14ac:dyDescent="0.25">
      <c r="BN239" s="22"/>
      <c r="BO239" s="22"/>
    </row>
    <row r="240" spans="66:67" x14ac:dyDescent="0.25">
      <c r="BN240" s="22"/>
      <c r="BO240" s="22"/>
    </row>
    <row r="241" spans="66:67" x14ac:dyDescent="0.25">
      <c r="BN241" s="22"/>
      <c r="BO241" s="22"/>
    </row>
    <row r="242" spans="66:67" x14ac:dyDescent="0.25">
      <c r="BN242" s="22"/>
      <c r="BO242" s="22"/>
    </row>
    <row r="243" spans="66:67" x14ac:dyDescent="0.25">
      <c r="BN243" s="22"/>
      <c r="BO243" s="22"/>
    </row>
    <row r="244" spans="66:67" x14ac:dyDescent="0.25">
      <c r="BN244" s="22"/>
      <c r="BO244" s="2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5"/>
  <sheetViews>
    <sheetView workbookViewId="0">
      <pane xSplit="1" ySplit="4" topLeftCell="B5" activePane="bottomRight" state="frozen"/>
      <selection activeCell="F11" sqref="F11"/>
      <selection pane="topRight" activeCell="F11" sqref="F11"/>
      <selection pane="bottomLeft" activeCell="F11" sqref="F11"/>
      <selection pane="bottomRight" activeCell="B2" sqref="B2"/>
    </sheetView>
  </sheetViews>
  <sheetFormatPr defaultRowHeight="15" x14ac:dyDescent="0.25"/>
  <cols>
    <col min="1" max="1" width="45" style="6" customWidth="1"/>
    <col min="2" max="35" width="16" style="4" customWidth="1"/>
    <col min="36" max="16384" width="9.140625" style="4"/>
  </cols>
  <sheetData>
    <row r="1" spans="1:67" ht="18.75" x14ac:dyDescent="0.3">
      <c r="A1" s="27" t="s">
        <v>330</v>
      </c>
    </row>
    <row r="2" spans="1:67" x14ac:dyDescent="0.25">
      <c r="A2" s="6" t="s">
        <v>43</v>
      </c>
    </row>
    <row r="3" spans="1:67" x14ac:dyDescent="0.25">
      <c r="A3" s="62" t="s">
        <v>177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67" s="22" customFormat="1" x14ac:dyDescent="0.25">
      <c r="A4" s="26" t="s">
        <v>0</v>
      </c>
      <c r="B4" s="103" t="s">
        <v>1</v>
      </c>
      <c r="C4" s="103" t="s">
        <v>2</v>
      </c>
      <c r="D4" s="103" t="s">
        <v>3</v>
      </c>
      <c r="E4" s="103" t="s">
        <v>4</v>
      </c>
      <c r="F4" s="103" t="s">
        <v>5</v>
      </c>
      <c r="G4" s="103" t="s">
        <v>6</v>
      </c>
      <c r="H4" s="103" t="s">
        <v>7</v>
      </c>
      <c r="I4" s="103" t="s">
        <v>8</v>
      </c>
      <c r="J4" s="103" t="s">
        <v>9</v>
      </c>
      <c r="K4" s="103" t="s">
        <v>10</v>
      </c>
      <c r="L4" s="103" t="s">
        <v>11</v>
      </c>
      <c r="M4" s="103" t="s">
        <v>12</v>
      </c>
      <c r="N4" s="103" t="s">
        <v>13</v>
      </c>
      <c r="O4" s="103" t="s">
        <v>14</v>
      </c>
      <c r="P4" s="103" t="s">
        <v>15</v>
      </c>
      <c r="Q4" s="103" t="s">
        <v>16</v>
      </c>
      <c r="R4" s="103" t="s">
        <v>17</v>
      </c>
      <c r="S4" s="103" t="s">
        <v>18</v>
      </c>
      <c r="T4" s="103" t="s">
        <v>19</v>
      </c>
      <c r="U4" s="103" t="s">
        <v>20</v>
      </c>
      <c r="V4" s="103" t="s">
        <v>21</v>
      </c>
      <c r="W4" s="103" t="s">
        <v>147</v>
      </c>
      <c r="X4" s="103" t="s">
        <v>148</v>
      </c>
      <c r="Y4" s="103" t="s">
        <v>22</v>
      </c>
      <c r="Z4" s="103" t="s">
        <v>23</v>
      </c>
      <c r="AA4" s="103" t="s">
        <v>332</v>
      </c>
      <c r="AB4" s="103" t="s">
        <v>24</v>
      </c>
      <c r="AC4" s="103" t="s">
        <v>25</v>
      </c>
      <c r="AD4" s="103" t="s">
        <v>26</v>
      </c>
      <c r="AE4" s="103" t="s">
        <v>27</v>
      </c>
      <c r="AF4" s="103" t="s">
        <v>28</v>
      </c>
      <c r="AG4" s="103" t="s">
        <v>29</v>
      </c>
      <c r="AH4" s="103" t="s">
        <v>30</v>
      </c>
      <c r="AI4" s="103" t="s">
        <v>31</v>
      </c>
    </row>
    <row r="5" spans="1:67" s="15" customFormat="1" x14ac:dyDescent="0.25">
      <c r="A5" s="23" t="s">
        <v>85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1:67" ht="30" x14ac:dyDescent="0.25">
      <c r="A6" s="25" t="s">
        <v>86</v>
      </c>
      <c r="B6" s="21">
        <v>206234</v>
      </c>
      <c r="C6" s="21">
        <v>788443</v>
      </c>
      <c r="D6" s="21"/>
      <c r="E6" s="21">
        <v>1506972</v>
      </c>
      <c r="F6" s="21"/>
      <c r="G6" s="21">
        <v>1628238</v>
      </c>
      <c r="H6" s="21">
        <v>3150870</v>
      </c>
      <c r="I6" s="21">
        <v>444654</v>
      </c>
      <c r="J6" s="21">
        <v>153064</v>
      </c>
      <c r="K6" s="21">
        <v>296761</v>
      </c>
      <c r="L6" s="21">
        <f>7524579.37+4590525.73</f>
        <v>12115105.100000001</v>
      </c>
      <c r="M6" s="21">
        <v>1996342</v>
      </c>
      <c r="N6" s="21">
        <v>2129058</v>
      </c>
      <c r="O6" s="51">
        <v>5156561</v>
      </c>
      <c r="P6" s="21"/>
      <c r="Q6" s="21">
        <v>6278416</v>
      </c>
      <c r="R6" s="21">
        <v>302514</v>
      </c>
      <c r="S6" s="21">
        <v>734456</v>
      </c>
      <c r="T6" s="21"/>
      <c r="U6" s="21">
        <v>400406</v>
      </c>
      <c r="V6" s="21">
        <v>578133</v>
      </c>
      <c r="W6" s="21"/>
      <c r="X6" s="21"/>
      <c r="Y6" s="21"/>
      <c r="Z6" s="21">
        <v>3720980</v>
      </c>
      <c r="AA6" s="21">
        <v>298119</v>
      </c>
      <c r="AB6" s="21"/>
      <c r="AC6" s="21">
        <v>3313333</v>
      </c>
      <c r="AD6" s="21">
        <v>3787703</v>
      </c>
      <c r="AE6" s="21">
        <v>1819615</v>
      </c>
      <c r="AF6" s="21">
        <v>6769806</v>
      </c>
      <c r="AG6" s="21">
        <v>7374590</v>
      </c>
      <c r="AH6" s="21"/>
      <c r="AI6" s="21">
        <v>1275846</v>
      </c>
      <c r="BN6" s="143">
        <v>-127254</v>
      </c>
      <c r="BO6" s="143">
        <v>0</v>
      </c>
    </row>
    <row r="7" spans="1:67" x14ac:dyDescent="0.25">
      <c r="A7" s="25" t="s">
        <v>87</v>
      </c>
      <c r="B7" s="21"/>
      <c r="C7" s="21">
        <v>358750</v>
      </c>
      <c r="D7" s="21"/>
      <c r="E7" s="21"/>
      <c r="F7" s="21"/>
      <c r="G7" s="21"/>
      <c r="H7" s="21"/>
      <c r="I7" s="21">
        <v>304491</v>
      </c>
      <c r="J7" s="21">
        <v>100163</v>
      </c>
      <c r="K7" s="21">
        <v>4037</v>
      </c>
      <c r="L7" s="21">
        <v>351696.36</v>
      </c>
      <c r="M7" s="21"/>
      <c r="N7" s="21">
        <v>214423</v>
      </c>
      <c r="O7" s="51">
        <v>2277785</v>
      </c>
      <c r="P7" s="21"/>
      <c r="Q7" s="21"/>
      <c r="R7" s="21"/>
      <c r="S7" s="21">
        <v>462468</v>
      </c>
      <c r="T7" s="21"/>
      <c r="U7" s="21">
        <v>612853</v>
      </c>
      <c r="V7" s="21">
        <v>2162</v>
      </c>
      <c r="W7" s="21"/>
      <c r="X7" s="21"/>
      <c r="Y7" s="21"/>
      <c r="Z7" s="21">
        <v>1350313</v>
      </c>
      <c r="AA7" s="21"/>
      <c r="AB7" s="21"/>
      <c r="AC7" s="21"/>
      <c r="AD7" s="21">
        <v>1453043</v>
      </c>
      <c r="AE7" s="21">
        <v>508387</v>
      </c>
      <c r="AF7" s="21"/>
      <c r="AG7" s="21"/>
      <c r="AH7" s="21"/>
      <c r="AI7" s="21"/>
      <c r="BN7" s="149">
        <v>198239</v>
      </c>
      <c r="BO7" s="149">
        <v>602658</v>
      </c>
    </row>
    <row r="8" spans="1:67" x14ac:dyDescent="0.25">
      <c r="A8" s="25" t="s">
        <v>88</v>
      </c>
      <c r="B8" s="21"/>
      <c r="C8" s="21"/>
      <c r="D8" s="21"/>
      <c r="E8" s="21"/>
      <c r="F8" s="21"/>
      <c r="G8" s="21"/>
      <c r="H8" s="21">
        <v>15499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BN8" s="144"/>
      <c r="BO8" s="144"/>
    </row>
    <row r="9" spans="1:67" x14ac:dyDescent="0.25">
      <c r="A9" s="25" t="s">
        <v>89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BN9" s="144"/>
      <c r="BO9" s="144"/>
    </row>
    <row r="10" spans="1:67" x14ac:dyDescent="0.25">
      <c r="A10" s="25" t="s">
        <v>90</v>
      </c>
      <c r="B10" s="21"/>
      <c r="C10" s="21"/>
      <c r="D10" s="21"/>
      <c r="E10" s="21"/>
      <c r="F10" s="21"/>
      <c r="G10" s="21">
        <v>38469</v>
      </c>
      <c r="H10" s="21">
        <v>140690</v>
      </c>
      <c r="I10" s="21"/>
      <c r="J10" s="21"/>
      <c r="K10" s="21"/>
      <c r="L10" s="21">
        <v>5278902.82</v>
      </c>
      <c r="M10" s="21">
        <v>46221</v>
      </c>
      <c r="N10" s="21">
        <v>296051</v>
      </c>
      <c r="O10" s="51">
        <v>708966</v>
      </c>
      <c r="P10" s="21"/>
      <c r="Q10" s="21">
        <v>7024</v>
      </c>
      <c r="R10" s="21"/>
      <c r="S10" s="21"/>
      <c r="T10" s="21"/>
      <c r="U10" s="21"/>
      <c r="V10" s="21">
        <v>821766.9296687824</v>
      </c>
      <c r="W10" s="21"/>
      <c r="X10" s="21"/>
      <c r="Y10" s="21"/>
      <c r="Z10" s="21">
        <v>198705</v>
      </c>
      <c r="AA10" s="21"/>
      <c r="AB10" s="21"/>
      <c r="AC10" s="21"/>
      <c r="AD10" s="21">
        <v>1791770</v>
      </c>
      <c r="AE10" s="21">
        <v>761496</v>
      </c>
      <c r="AF10" s="21"/>
      <c r="AG10" s="21">
        <v>1325030</v>
      </c>
      <c r="AH10" s="21"/>
      <c r="AI10" s="21"/>
    </row>
    <row r="11" spans="1:67" x14ac:dyDescent="0.25">
      <c r="A11" s="25" t="s">
        <v>91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51">
        <v>10535</v>
      </c>
      <c r="P11" s="21"/>
      <c r="Q11" s="21"/>
      <c r="R11" s="21"/>
      <c r="S11" s="21"/>
      <c r="T11" s="21"/>
      <c r="U11" s="21"/>
      <c r="V11" s="21">
        <v>3.0837402125293378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67" x14ac:dyDescent="0.25">
      <c r="A12" s="25" t="s">
        <v>92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>
        <v>3880.4248848166717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BN12" s="22"/>
      <c r="BO12" s="22"/>
    </row>
    <row r="13" spans="1:67" x14ac:dyDescent="0.25">
      <c r="A13" s="25" t="s">
        <v>93</v>
      </c>
      <c r="B13" s="21">
        <v>144445</v>
      </c>
      <c r="C13" s="21">
        <v>97512</v>
      </c>
      <c r="D13" s="21"/>
      <c r="E13" s="21">
        <v>100000</v>
      </c>
      <c r="F13" s="21"/>
      <c r="G13" s="21">
        <v>1234792</v>
      </c>
      <c r="H13" s="21">
        <v>1975628</v>
      </c>
      <c r="I13" s="21">
        <v>398787</v>
      </c>
      <c r="J13" s="21"/>
      <c r="K13" s="21">
        <v>502061</v>
      </c>
      <c r="L13" s="21">
        <f>3649179.31+1261100.77</f>
        <v>4910280.08</v>
      </c>
      <c r="M13" s="21">
        <v>1228763</v>
      </c>
      <c r="N13" s="21">
        <v>249885</v>
      </c>
      <c r="O13" s="51">
        <v>3278239</v>
      </c>
      <c r="P13" s="21"/>
      <c r="Q13" s="21">
        <v>1844096</v>
      </c>
      <c r="R13" s="21">
        <v>189174</v>
      </c>
      <c r="S13" s="21">
        <v>1459846</v>
      </c>
      <c r="T13" s="21"/>
      <c r="U13" s="21">
        <v>553692</v>
      </c>
      <c r="V13" s="21">
        <v>193763.21208436001</v>
      </c>
      <c r="W13" s="21"/>
      <c r="X13" s="21"/>
      <c r="Y13" s="21"/>
      <c r="Z13" s="21">
        <v>4942936</v>
      </c>
      <c r="AA13" s="21"/>
      <c r="AB13" s="21"/>
      <c r="AC13" s="21">
        <v>2268687</v>
      </c>
      <c r="AD13" s="21">
        <v>1005725</v>
      </c>
      <c r="AE13" s="21">
        <v>212680</v>
      </c>
      <c r="AF13" s="21">
        <v>1252686</v>
      </c>
      <c r="AG13" s="21">
        <v>3270858</v>
      </c>
      <c r="AH13" s="21"/>
      <c r="AI13" s="21">
        <v>519404</v>
      </c>
      <c r="BN13" s="15"/>
      <c r="BO13" s="15"/>
    </row>
    <row r="14" spans="1:67" x14ac:dyDescent="0.25">
      <c r="A14" s="25" t="s">
        <v>335</v>
      </c>
      <c r="B14" s="2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51">
        <v>94630</v>
      </c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>
        <v>73818</v>
      </c>
      <c r="AA14" s="21"/>
      <c r="AB14" s="21"/>
      <c r="AC14" s="21"/>
      <c r="AD14" s="21">
        <v>73633</v>
      </c>
      <c r="AE14" s="21"/>
      <c r="AF14" s="21"/>
      <c r="AG14" s="21"/>
      <c r="AH14" s="21"/>
      <c r="AI14" s="21"/>
      <c r="BN14" s="143">
        <v>-369399</v>
      </c>
      <c r="BO14" s="143">
        <v>73336</v>
      </c>
    </row>
    <row r="15" spans="1:67" x14ac:dyDescent="0.25">
      <c r="A15" s="25" t="s">
        <v>237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>
        <v>591884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BN15" s="149">
        <v>2445785</v>
      </c>
      <c r="BO15" s="149">
        <v>7279003</v>
      </c>
    </row>
    <row r="16" spans="1:67" x14ac:dyDescent="0.25">
      <c r="A16" s="25" t="s">
        <v>238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>
        <v>8243</v>
      </c>
      <c r="N16" s="21"/>
      <c r="O16" s="21"/>
      <c r="P16" s="21"/>
      <c r="Q16" s="21">
        <v>1115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>
        <v>731641</v>
      </c>
      <c r="AF16" s="21"/>
      <c r="AG16" s="21"/>
      <c r="AH16" s="21"/>
      <c r="AI16" s="21"/>
      <c r="BN16" s="144"/>
      <c r="BO16" s="144"/>
    </row>
    <row r="17" spans="1:67" x14ac:dyDescent="0.25">
      <c r="A17" s="25" t="s">
        <v>239</v>
      </c>
      <c r="B17" s="21"/>
      <c r="C17" s="21"/>
      <c r="D17" s="21"/>
      <c r="E17" s="21"/>
      <c r="F17" s="21"/>
      <c r="G17" s="21">
        <v>108980</v>
      </c>
      <c r="H17" s="21">
        <v>29784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>
        <v>2714.0812869944702</v>
      </c>
      <c r="W17" s="21"/>
      <c r="X17" s="21"/>
      <c r="Y17" s="21"/>
      <c r="Z17" s="21"/>
      <c r="AA17" s="21"/>
      <c r="AB17" s="21"/>
      <c r="AC17" s="21"/>
      <c r="AD17" s="21"/>
      <c r="AE17" s="21"/>
      <c r="AF17" s="21">
        <v>28585</v>
      </c>
      <c r="AG17" s="21"/>
      <c r="AH17" s="21"/>
      <c r="AI17" s="21"/>
      <c r="BN17" s="144"/>
      <c r="BO17" s="144"/>
    </row>
    <row r="18" spans="1:67" x14ac:dyDescent="0.25">
      <c r="A18" s="25" t="s">
        <v>320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>
        <v>1476.3348010427294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67" x14ac:dyDescent="0.25">
      <c r="A19" s="25" t="s">
        <v>94</v>
      </c>
      <c r="B19" s="21">
        <v>249176</v>
      </c>
      <c r="C19" s="21">
        <f>50689+99642</f>
        <v>150331</v>
      </c>
      <c r="D19" s="21"/>
      <c r="E19" s="21">
        <v>521618</v>
      </c>
      <c r="F19" s="21"/>
      <c r="G19" s="21">
        <v>1239862</v>
      </c>
      <c r="H19" s="21">
        <v>1353740</v>
      </c>
      <c r="I19" s="21">
        <v>448579</v>
      </c>
      <c r="J19" s="21">
        <v>49962</v>
      </c>
      <c r="K19" s="21">
        <v>619348</v>
      </c>
      <c r="L19" s="21">
        <v>9548865.1899999995</v>
      </c>
      <c r="M19" s="21">
        <v>1883369</v>
      </c>
      <c r="N19" s="21">
        <v>1274604</v>
      </c>
      <c r="O19" s="51">
        <v>5465326</v>
      </c>
      <c r="P19" s="21"/>
      <c r="Q19" s="21">
        <v>6430525</v>
      </c>
      <c r="R19" s="21">
        <v>282077</v>
      </c>
      <c r="S19" s="21">
        <v>1021100</v>
      </c>
      <c r="T19" s="21"/>
      <c r="U19" s="21">
        <v>549290</v>
      </c>
      <c r="V19" s="21">
        <v>124953.70491182753</v>
      </c>
      <c r="W19" s="21"/>
      <c r="X19" s="21"/>
      <c r="Y19" s="21"/>
      <c r="Z19" s="21">
        <v>1216889</v>
      </c>
      <c r="AA19" s="21"/>
      <c r="AB19" s="21"/>
      <c r="AC19" s="21">
        <v>1711572</v>
      </c>
      <c r="AD19" s="21">
        <v>5409047</v>
      </c>
      <c r="AE19" s="21">
        <v>2231629</v>
      </c>
      <c r="AF19" s="21">
        <v>4091700</v>
      </c>
      <c r="AG19" s="21">
        <v>4150245</v>
      </c>
      <c r="AH19" s="21"/>
      <c r="AI19" s="21">
        <v>992718</v>
      </c>
    </row>
    <row r="20" spans="1:67" x14ac:dyDescent="0.25">
      <c r="A20" s="25" t="s">
        <v>174</v>
      </c>
      <c r="B20" s="21"/>
      <c r="C20" s="21"/>
      <c r="D20" s="21"/>
      <c r="E20" s="21"/>
      <c r="F20" s="21"/>
      <c r="G20" s="21">
        <f>327224-5668</f>
        <v>321556</v>
      </c>
      <c r="H20" s="21">
        <f>13660+395147</f>
        <v>408807</v>
      </c>
      <c r="I20" s="21">
        <v>50000</v>
      </c>
      <c r="J20" s="21">
        <v>49974</v>
      </c>
      <c r="K20" s="21"/>
      <c r="L20" s="21">
        <v>1035122.6</v>
      </c>
      <c r="M20" s="21">
        <v>105955</v>
      </c>
      <c r="N20" s="21"/>
      <c r="O20" s="21">
        <f>14722+20839+74633</f>
        <v>110194</v>
      </c>
      <c r="P20" s="21"/>
      <c r="Q20" s="21">
        <f>4053+370931-69101</f>
        <v>305883</v>
      </c>
      <c r="R20" s="21">
        <v>18173</v>
      </c>
      <c r="S20" s="21">
        <v>25718</v>
      </c>
      <c r="T20" s="21"/>
      <c r="U20" s="21"/>
      <c r="V20" s="21"/>
      <c r="W20" s="21"/>
      <c r="X20" s="21"/>
      <c r="Y20" s="21"/>
      <c r="Z20" s="21">
        <f>310658-20669</f>
        <v>289989</v>
      </c>
      <c r="AA20" s="21"/>
      <c r="AB20" s="21"/>
      <c r="AC20" s="21">
        <v>444951</v>
      </c>
      <c r="AD20" s="21"/>
      <c r="AE20" s="21"/>
      <c r="AF20" s="21">
        <v>201805</v>
      </c>
      <c r="AG20" s="21">
        <v>755387</v>
      </c>
      <c r="AH20" s="21"/>
      <c r="AI20" s="21">
        <v>42993</v>
      </c>
    </row>
    <row r="21" spans="1:67" s="15" customFormat="1" x14ac:dyDescent="0.25">
      <c r="A21" s="23" t="s">
        <v>175</v>
      </c>
      <c r="B21" s="24">
        <v>599855</v>
      </c>
      <c r="C21" s="24"/>
      <c r="D21" s="24"/>
      <c r="E21" s="21">
        <v>2128590</v>
      </c>
      <c r="F21" s="24"/>
      <c r="G21" s="24"/>
      <c r="H21" s="24">
        <v>7075018</v>
      </c>
      <c r="I21" s="24"/>
      <c r="J21" s="24"/>
      <c r="K21" s="24"/>
      <c r="L21" s="24">
        <v>33239972.149999999</v>
      </c>
      <c r="M21" s="24">
        <v>5268894</v>
      </c>
      <c r="N21" s="24">
        <v>4164021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>
        <v>6265448</v>
      </c>
      <c r="AF21" s="24"/>
      <c r="AG21" s="24"/>
      <c r="AH21" s="24"/>
      <c r="AI21" s="24"/>
    </row>
    <row r="22" spans="1:67" s="48" customFormat="1" x14ac:dyDescent="0.25">
      <c r="A22" s="63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BN22" s="143">
        <v>1034159</v>
      </c>
      <c r="BO22" s="143">
        <v>3200556</v>
      </c>
    </row>
    <row r="23" spans="1:67" s="15" customFormat="1" x14ac:dyDescent="0.25">
      <c r="A23" s="23" t="s">
        <v>95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BN23" s="143">
        <v>0</v>
      </c>
      <c r="BO23" s="143">
        <v>0</v>
      </c>
    </row>
    <row r="24" spans="1:67" ht="30" x14ac:dyDescent="0.25">
      <c r="A24" s="25" t="s">
        <v>86</v>
      </c>
      <c r="B24" s="21">
        <v>98366</v>
      </c>
      <c r="C24" s="21"/>
      <c r="D24" s="21"/>
      <c r="E24" s="21"/>
      <c r="F24" s="21"/>
      <c r="G24" s="21">
        <v>82135</v>
      </c>
      <c r="H24" s="21">
        <v>10354</v>
      </c>
      <c r="I24" s="21"/>
      <c r="J24" s="21"/>
      <c r="K24" s="21"/>
      <c r="L24" s="21">
        <f>522944.65+1265343.21</f>
        <v>1788287.8599999999</v>
      </c>
      <c r="M24" s="21">
        <v>174413</v>
      </c>
      <c r="N24" s="21">
        <v>849647</v>
      </c>
      <c r="O24" s="51"/>
      <c r="P24" s="21"/>
      <c r="Q24" s="21">
        <v>345627</v>
      </c>
      <c r="R24" s="21">
        <v>50110</v>
      </c>
      <c r="S24" s="21">
        <v>293417</v>
      </c>
      <c r="T24" s="21"/>
      <c r="U24" s="21"/>
      <c r="V24" s="21">
        <v>10775</v>
      </c>
      <c r="W24" s="21"/>
      <c r="X24" s="21"/>
      <c r="Y24" s="21"/>
      <c r="Z24" s="21"/>
      <c r="AA24" s="21">
        <v>46333</v>
      </c>
      <c r="AB24" s="21"/>
      <c r="AC24" s="21"/>
      <c r="AD24" s="21"/>
      <c r="AE24" s="21"/>
      <c r="AF24" s="21"/>
      <c r="AG24" s="21"/>
      <c r="AH24" s="21"/>
      <c r="AI24" s="21">
        <v>106121</v>
      </c>
      <c r="BN24" s="143">
        <v>71097</v>
      </c>
      <c r="BO24" s="143">
        <v>259443</v>
      </c>
    </row>
    <row r="25" spans="1:67" x14ac:dyDescent="0.25">
      <c r="A25" s="25" t="s">
        <v>87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>
        <v>1388744</v>
      </c>
      <c r="R25" s="21"/>
      <c r="S25" s="21"/>
      <c r="T25" s="21"/>
      <c r="U25" s="21"/>
      <c r="V25" s="21"/>
      <c r="W25" s="21"/>
      <c r="X25" s="21"/>
      <c r="Y25" s="21"/>
      <c r="Z25" s="21">
        <v>156799</v>
      </c>
      <c r="AA25" s="21"/>
      <c r="AB25" s="21"/>
      <c r="AC25" s="21"/>
      <c r="AD25" s="21"/>
      <c r="AE25" s="21">
        <v>53709</v>
      </c>
      <c r="AF25" s="21"/>
      <c r="AG25" s="21"/>
      <c r="AH25" s="21"/>
      <c r="AI25" s="21"/>
      <c r="BN25" s="143">
        <v>963062</v>
      </c>
      <c r="BO25" s="143">
        <v>2941113</v>
      </c>
    </row>
    <row r="26" spans="1:67" x14ac:dyDescent="0.25">
      <c r="A26" s="25" t="s">
        <v>88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67" x14ac:dyDescent="0.25">
      <c r="A27" s="25" t="s">
        <v>89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67" x14ac:dyDescent="0.25">
      <c r="A28" s="25" t="s">
        <v>90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>
        <v>1502</v>
      </c>
      <c r="AA28" s="21"/>
      <c r="AB28" s="21"/>
      <c r="AC28" s="21">
        <v>622302</v>
      </c>
      <c r="AD28" s="21"/>
      <c r="AE28" s="21"/>
      <c r="AF28" s="21"/>
      <c r="AG28" s="21"/>
      <c r="AH28" s="21"/>
      <c r="AI28" s="21">
        <v>45382</v>
      </c>
    </row>
    <row r="29" spans="1:67" x14ac:dyDescent="0.25">
      <c r="A29" s="25" t="s">
        <v>91</v>
      </c>
      <c r="B29" s="21"/>
      <c r="C29" s="21"/>
      <c r="D29" s="21"/>
      <c r="E29" s="21"/>
      <c r="F29" s="21"/>
      <c r="G29" s="21"/>
      <c r="H29" s="21"/>
      <c r="I29" s="21"/>
      <c r="J29" s="21"/>
      <c r="K29" s="21">
        <v>47807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>
        <v>34.014353628881537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67" x14ac:dyDescent="0.25">
      <c r="A30" s="25" t="s">
        <v>92</v>
      </c>
      <c r="B30" s="21">
        <v>57629</v>
      </c>
      <c r="C30" s="21"/>
      <c r="D30" s="21"/>
      <c r="E30" s="21"/>
      <c r="F30" s="21"/>
      <c r="G30" s="21">
        <v>29679</v>
      </c>
      <c r="H30" s="21">
        <v>74479</v>
      </c>
      <c r="I30" s="21">
        <v>14456</v>
      </c>
      <c r="J30" s="21">
        <v>9708</v>
      </c>
      <c r="K30" s="21">
        <v>79975</v>
      </c>
      <c r="L30" s="21">
        <v>292696.58</v>
      </c>
      <c r="M30" s="21">
        <v>16243</v>
      </c>
      <c r="N30" s="21">
        <v>700845</v>
      </c>
      <c r="O30" s="51">
        <v>442045</v>
      </c>
      <c r="P30" s="21"/>
      <c r="Q30" s="21"/>
      <c r="R30" s="21">
        <v>16302</v>
      </c>
      <c r="S30" s="21">
        <v>140806</v>
      </c>
      <c r="T30" s="21"/>
      <c r="U30" s="21">
        <v>225045</v>
      </c>
      <c r="V30" s="21">
        <v>4822</v>
      </c>
      <c r="W30" s="21"/>
      <c r="X30" s="21"/>
      <c r="Y30" s="21"/>
      <c r="Z30" s="21">
        <v>325061</v>
      </c>
      <c r="AA30" s="21"/>
      <c r="AB30" s="21"/>
      <c r="AC30" s="21">
        <v>46197</v>
      </c>
      <c r="AD30" s="21"/>
      <c r="AE30" s="21"/>
      <c r="AF30" s="21"/>
      <c r="AG30" s="21">
        <v>130850</v>
      </c>
      <c r="AH30" s="21"/>
      <c r="AI30" s="21"/>
      <c r="BN30" s="150">
        <v>108095</v>
      </c>
      <c r="BO30" s="150">
        <v>316669</v>
      </c>
    </row>
    <row r="31" spans="1:67" x14ac:dyDescent="0.25">
      <c r="A31" s="25" t="s">
        <v>240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>
        <v>291498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BN31" s="150">
        <v>1565</v>
      </c>
      <c r="BO31" s="150">
        <v>67512</v>
      </c>
    </row>
    <row r="32" spans="1:67" x14ac:dyDescent="0.25">
      <c r="A32" s="25" t="s">
        <v>241</v>
      </c>
      <c r="B32" s="21"/>
      <c r="C32" s="21">
        <v>49603</v>
      </c>
      <c r="D32" s="21"/>
      <c r="E32" s="21">
        <v>100000</v>
      </c>
      <c r="F32" s="21"/>
      <c r="G32" s="21">
        <v>376422</v>
      </c>
      <c r="H32" s="21">
        <v>457294</v>
      </c>
      <c r="I32" s="21">
        <v>149413</v>
      </c>
      <c r="J32" s="21"/>
      <c r="K32" s="21">
        <v>35884</v>
      </c>
      <c r="L32" s="21">
        <f>813642.49+196255.34</f>
        <v>1009897.83</v>
      </c>
      <c r="M32" s="21"/>
      <c r="N32" s="21">
        <v>149189</v>
      </c>
      <c r="O32" s="51">
        <v>261521</v>
      </c>
      <c r="P32" s="21"/>
      <c r="Q32" s="21">
        <v>836132</v>
      </c>
      <c r="R32" s="21">
        <v>37787</v>
      </c>
      <c r="S32" s="21">
        <v>346936</v>
      </c>
      <c r="T32" s="21"/>
      <c r="U32" s="21">
        <v>449385</v>
      </c>
      <c r="V32" s="21">
        <v>20246</v>
      </c>
      <c r="W32" s="21"/>
      <c r="X32" s="21"/>
      <c r="Y32" s="21"/>
      <c r="Z32" s="21">
        <v>1108949</v>
      </c>
      <c r="AA32" s="21"/>
      <c r="AB32" s="21"/>
      <c r="AC32" s="21">
        <v>1260044</v>
      </c>
      <c r="AD32" s="21">
        <v>100000</v>
      </c>
      <c r="AE32" s="21"/>
      <c r="AF32" s="21">
        <v>17266</v>
      </c>
      <c r="AG32" s="21">
        <v>373790</v>
      </c>
      <c r="AH32" s="21"/>
      <c r="AI32" s="21">
        <v>691149</v>
      </c>
      <c r="BN32" s="150">
        <v>47820</v>
      </c>
      <c r="BO32" s="150">
        <v>170309</v>
      </c>
    </row>
    <row r="33" spans="1:67" x14ac:dyDescent="0.25">
      <c r="A33" s="25" t="s">
        <v>237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>
        <v>587032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BN33" s="150">
        <v>61840</v>
      </c>
      <c r="BO33" s="150">
        <v>213872</v>
      </c>
    </row>
    <row r="34" spans="1:67" x14ac:dyDescent="0.25">
      <c r="A34" s="25" t="s">
        <v>242</v>
      </c>
      <c r="B34" s="21">
        <v>11011</v>
      </c>
      <c r="C34" s="21"/>
      <c r="D34" s="21"/>
      <c r="E34" s="21"/>
      <c r="F34" s="21"/>
      <c r="G34" s="21"/>
      <c r="H34" s="21"/>
      <c r="I34" s="21">
        <v>98273</v>
      </c>
      <c r="J34" s="21"/>
      <c r="K34" s="21">
        <f>5040+57852</f>
        <v>62892</v>
      </c>
      <c r="L34" s="21"/>
      <c r="M34" s="21">
        <v>104008</v>
      </c>
      <c r="N34" s="21"/>
      <c r="O34" s="51">
        <v>298572</v>
      </c>
      <c r="P34" s="21"/>
      <c r="Q34" s="21">
        <v>166681</v>
      </c>
      <c r="R34" s="21"/>
      <c r="S34" s="21">
        <v>62871</v>
      </c>
      <c r="T34" s="21"/>
      <c r="U34" s="21">
        <v>358700</v>
      </c>
      <c r="V34" s="21">
        <v>59068</v>
      </c>
      <c r="W34" s="21"/>
      <c r="X34" s="21"/>
      <c r="Y34" s="21"/>
      <c r="Z34" s="21">
        <v>148136</v>
      </c>
      <c r="AA34" s="21"/>
      <c r="AB34" s="21"/>
      <c r="AC34" s="21">
        <v>228901</v>
      </c>
      <c r="AD34" s="21"/>
      <c r="AE34" s="21"/>
      <c r="AF34" s="21"/>
      <c r="AG34" s="21">
        <v>163693</v>
      </c>
      <c r="AH34" s="21"/>
      <c r="AI34" s="21">
        <v>92713</v>
      </c>
    </row>
    <row r="35" spans="1:67" x14ac:dyDescent="0.25">
      <c r="A35" s="25" t="s">
        <v>243</v>
      </c>
      <c r="B35" s="21"/>
      <c r="C35" s="21"/>
      <c r="D35" s="21"/>
      <c r="E35" s="21"/>
      <c r="F35" s="21"/>
      <c r="G35" s="21"/>
      <c r="H35" s="21">
        <v>56830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>
        <v>27931</v>
      </c>
      <c r="AB35" s="21"/>
      <c r="AC35" s="21">
        <v>31516</v>
      </c>
      <c r="AD35" s="21">
        <v>10000</v>
      </c>
      <c r="AE35" s="21"/>
      <c r="AF35" s="21"/>
      <c r="AG35" s="21"/>
      <c r="AH35" s="21"/>
      <c r="AI35" s="21"/>
    </row>
    <row r="36" spans="1:67" x14ac:dyDescent="0.25">
      <c r="A36" s="25" t="s">
        <v>316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BN36" s="22"/>
      <c r="BO36" s="22"/>
    </row>
    <row r="37" spans="1:67" x14ac:dyDescent="0.25">
      <c r="A37" s="25" t="s">
        <v>94</v>
      </c>
      <c r="B37" s="21">
        <v>103215</v>
      </c>
      <c r="C37" s="21"/>
      <c r="D37" s="21"/>
      <c r="E37" s="21">
        <v>50000</v>
      </c>
      <c r="F37" s="21"/>
      <c r="G37" s="21">
        <v>268980</v>
      </c>
      <c r="H37" s="21">
        <v>72446</v>
      </c>
      <c r="I37" s="21"/>
      <c r="J37" s="21"/>
      <c r="K37" s="21">
        <v>30393</v>
      </c>
      <c r="L37" s="21">
        <v>569631.12</v>
      </c>
      <c r="M37" s="21">
        <v>166428</v>
      </c>
      <c r="N37" s="21">
        <v>1253281</v>
      </c>
      <c r="O37" s="51">
        <v>794196</v>
      </c>
      <c r="P37" s="21"/>
      <c r="Q37" s="21">
        <v>918371</v>
      </c>
      <c r="R37" s="21">
        <v>49977</v>
      </c>
      <c r="S37" s="21">
        <v>90125</v>
      </c>
      <c r="T37" s="21"/>
      <c r="U37" s="21"/>
      <c r="V37" s="21">
        <v>16519.231240963014</v>
      </c>
      <c r="W37" s="21"/>
      <c r="X37" s="21"/>
      <c r="Y37" s="21"/>
      <c r="Z37" s="21">
        <v>310028</v>
      </c>
      <c r="AA37" s="21"/>
      <c r="AB37" s="21"/>
      <c r="AC37" s="21">
        <v>556421</v>
      </c>
      <c r="AD37" s="21">
        <v>586790</v>
      </c>
      <c r="AE37" s="21">
        <v>648897</v>
      </c>
      <c r="AF37" s="21">
        <v>41063</v>
      </c>
      <c r="AG37" s="21">
        <v>1223017</v>
      </c>
      <c r="AH37" s="21"/>
      <c r="AI37" s="21">
        <v>159918</v>
      </c>
      <c r="BN37" s="15"/>
      <c r="BO37" s="15"/>
    </row>
    <row r="38" spans="1:67" x14ac:dyDescent="0.25">
      <c r="A38" s="25" t="s">
        <v>174</v>
      </c>
      <c r="B38" s="21"/>
      <c r="C38" s="21"/>
      <c r="D38" s="21"/>
      <c r="E38" s="21"/>
      <c r="F38" s="21"/>
      <c r="G38" s="21">
        <f>-4251+198501</f>
        <v>194250</v>
      </c>
      <c r="H38" s="21">
        <v>102475</v>
      </c>
      <c r="I38" s="21"/>
      <c r="J38" s="21">
        <v>99626</v>
      </c>
      <c r="K38" s="21"/>
      <c r="L38" s="21">
        <v>221815.05</v>
      </c>
      <c r="M38" s="21">
        <v>20953</v>
      </c>
      <c r="N38" s="21"/>
      <c r="O38" s="51">
        <v>73190</v>
      </c>
      <c r="P38" s="21"/>
      <c r="Q38" s="21">
        <f>178445-20061</f>
        <v>158384</v>
      </c>
      <c r="R38" s="21"/>
      <c r="S38" s="21">
        <v>38577</v>
      </c>
      <c r="T38" s="21"/>
      <c r="U38" s="21">
        <v>150050</v>
      </c>
      <c r="V38" s="21"/>
      <c r="W38" s="21"/>
      <c r="X38" s="21"/>
      <c r="Y38" s="21"/>
      <c r="Z38" s="21">
        <f>51667-15502</f>
        <v>36165</v>
      </c>
      <c r="AA38" s="21"/>
      <c r="AB38" s="21"/>
      <c r="AC38" s="21">
        <v>180066</v>
      </c>
      <c r="AD38" s="21"/>
      <c r="AE38" s="21"/>
      <c r="AF38" s="21">
        <v>20500</v>
      </c>
      <c r="AG38" s="21"/>
      <c r="AH38" s="21"/>
      <c r="AI38" s="21">
        <v>25726</v>
      </c>
      <c r="BN38" s="143">
        <v>951873</v>
      </c>
      <c r="BO38" s="143">
        <v>2723576</v>
      </c>
    </row>
    <row r="39" spans="1:67" s="15" customFormat="1" x14ac:dyDescent="0.25">
      <c r="A39" s="23" t="s">
        <v>176</v>
      </c>
      <c r="B39" s="24">
        <v>270221</v>
      </c>
      <c r="C39" s="24"/>
      <c r="D39" s="24"/>
      <c r="E39" s="24">
        <v>150000</v>
      </c>
      <c r="F39" s="24"/>
      <c r="G39" s="24"/>
      <c r="H39" s="24">
        <v>773878</v>
      </c>
      <c r="I39" s="24"/>
      <c r="J39" s="24"/>
      <c r="K39" s="24"/>
      <c r="L39" s="24">
        <v>3882328.44</v>
      </c>
      <c r="M39" s="24">
        <v>773542</v>
      </c>
      <c r="N39" s="24">
        <v>2952962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>
        <v>702606</v>
      </c>
      <c r="AF39" s="24"/>
      <c r="AG39" s="24"/>
      <c r="AH39" s="24"/>
      <c r="AI39" s="24"/>
      <c r="BN39" s="143">
        <v>0</v>
      </c>
      <c r="BO39" s="143">
        <v>0</v>
      </c>
    </row>
    <row r="40" spans="1:67" s="15" customFormat="1" x14ac:dyDescent="0.25">
      <c r="A40" s="23" t="s">
        <v>61</v>
      </c>
      <c r="B40" s="24">
        <v>870076</v>
      </c>
      <c r="C40" s="24">
        <v>1444639</v>
      </c>
      <c r="D40" s="24"/>
      <c r="E40" s="24">
        <v>2278590</v>
      </c>
      <c r="F40" s="24"/>
      <c r="G40" s="24">
        <v>5523363</v>
      </c>
      <c r="H40" s="24">
        <v>7848895</v>
      </c>
      <c r="I40" s="24">
        <v>1908655</v>
      </c>
      <c r="J40" s="24">
        <v>462497</v>
      </c>
      <c r="K40" s="24">
        <v>1679158</v>
      </c>
      <c r="L40" s="24">
        <v>37122300.590000004</v>
      </c>
      <c r="M40" s="24"/>
      <c r="N40" s="24">
        <v>7116983</v>
      </c>
      <c r="O40" s="52">
        <v>18971760</v>
      </c>
      <c r="P40" s="24"/>
      <c r="Q40" s="24">
        <v>19859914</v>
      </c>
      <c r="R40" s="24">
        <v>946114</v>
      </c>
      <c r="S40" s="24">
        <v>4676320</v>
      </c>
      <c r="T40" s="24"/>
      <c r="U40" s="24">
        <v>3299421</v>
      </c>
      <c r="V40" s="24">
        <v>1840316.0169726282</v>
      </c>
      <c r="W40" s="24"/>
      <c r="X40" s="24"/>
      <c r="Y40" s="24"/>
      <c r="Z40" s="24">
        <v>13880270</v>
      </c>
      <c r="AA40" s="24">
        <v>372382</v>
      </c>
      <c r="AB40" s="24"/>
      <c r="AC40" s="24">
        <v>10663990</v>
      </c>
      <c r="AD40" s="24">
        <v>14217711</v>
      </c>
      <c r="AE40" s="24">
        <v>6968054</v>
      </c>
      <c r="AF40" s="24">
        <v>12423411</v>
      </c>
      <c r="AG40" s="24">
        <v>18767460</v>
      </c>
      <c r="AH40" s="24"/>
      <c r="AI40" s="24">
        <v>3951970</v>
      </c>
      <c r="BN40" s="143">
        <v>-108134</v>
      </c>
      <c r="BO40" s="143">
        <v>107062</v>
      </c>
    </row>
    <row r="41" spans="1:67" x14ac:dyDescent="0.25">
      <c r="A41" s="25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BN41" s="143">
        <v>1060007</v>
      </c>
      <c r="BO41" s="143">
        <v>2616514</v>
      </c>
    </row>
    <row r="42" spans="1:67" x14ac:dyDescent="0.25">
      <c r="A42" s="62" t="s">
        <v>178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67" s="15" customFormat="1" x14ac:dyDescent="0.25">
      <c r="A43" s="23" t="s">
        <v>0</v>
      </c>
      <c r="B43" s="103" t="s">
        <v>1</v>
      </c>
      <c r="C43" s="103" t="s">
        <v>2</v>
      </c>
      <c r="D43" s="103" t="s">
        <v>3</v>
      </c>
      <c r="E43" s="103" t="s">
        <v>4</v>
      </c>
      <c r="F43" s="103" t="s">
        <v>5</v>
      </c>
      <c r="G43" s="103" t="s">
        <v>6</v>
      </c>
      <c r="H43" s="103" t="s">
        <v>7</v>
      </c>
      <c r="I43" s="103" t="s">
        <v>8</v>
      </c>
      <c r="J43" s="103" t="s">
        <v>9</v>
      </c>
      <c r="K43" s="103" t="s">
        <v>10</v>
      </c>
      <c r="L43" s="103" t="s">
        <v>11</v>
      </c>
      <c r="M43" s="103" t="s">
        <v>12</v>
      </c>
      <c r="N43" s="103" t="s">
        <v>13</v>
      </c>
      <c r="O43" s="103" t="s">
        <v>14</v>
      </c>
      <c r="P43" s="103" t="s">
        <v>15</v>
      </c>
      <c r="Q43" s="103" t="s">
        <v>16</v>
      </c>
      <c r="R43" s="103" t="s">
        <v>17</v>
      </c>
      <c r="S43" s="103" t="s">
        <v>18</v>
      </c>
      <c r="T43" s="103" t="s">
        <v>19</v>
      </c>
      <c r="U43" s="103" t="s">
        <v>20</v>
      </c>
      <c r="V43" s="103" t="s">
        <v>21</v>
      </c>
      <c r="W43" s="103" t="s">
        <v>147</v>
      </c>
      <c r="X43" s="103" t="s">
        <v>148</v>
      </c>
      <c r="Y43" s="103" t="s">
        <v>22</v>
      </c>
      <c r="Z43" s="103" t="s">
        <v>23</v>
      </c>
      <c r="AA43" s="103" t="s">
        <v>332</v>
      </c>
      <c r="AB43" s="103" t="s">
        <v>24</v>
      </c>
      <c r="AC43" s="103" t="s">
        <v>25</v>
      </c>
      <c r="AD43" s="103" t="s">
        <v>26</v>
      </c>
      <c r="AE43" s="103" t="s">
        <v>27</v>
      </c>
      <c r="AF43" s="103" t="s">
        <v>28</v>
      </c>
      <c r="AG43" s="103" t="s">
        <v>29</v>
      </c>
      <c r="AH43" s="103" t="s">
        <v>30</v>
      </c>
      <c r="AI43" s="103" t="s">
        <v>31</v>
      </c>
    </row>
    <row r="44" spans="1:67" s="15" customFormat="1" x14ac:dyDescent="0.25">
      <c r="A44" s="23" t="s">
        <v>85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67" ht="30" x14ac:dyDescent="0.25">
      <c r="A45" s="25" t="s">
        <v>86</v>
      </c>
      <c r="B45" s="21">
        <v>293459</v>
      </c>
      <c r="C45" s="21">
        <v>401178</v>
      </c>
      <c r="D45" s="21"/>
      <c r="E45" s="21">
        <v>3717681</v>
      </c>
      <c r="F45" s="21"/>
      <c r="G45" s="21">
        <v>9862500</v>
      </c>
      <c r="H45" s="21">
        <v>27342992</v>
      </c>
      <c r="I45" s="21">
        <v>779079</v>
      </c>
      <c r="J45" s="21">
        <v>353906</v>
      </c>
      <c r="K45" s="21">
        <v>292437</v>
      </c>
      <c r="L45" s="21">
        <f>12812121.63+7816300.57</f>
        <v>20628422.200000003</v>
      </c>
      <c r="M45" s="21">
        <v>9991843</v>
      </c>
      <c r="N45" s="21">
        <v>4558074</v>
      </c>
      <c r="O45" s="51">
        <v>19588304</v>
      </c>
      <c r="P45" s="21"/>
      <c r="Q45" s="21">
        <v>21887881</v>
      </c>
      <c r="R45" s="21">
        <v>1290903</v>
      </c>
      <c r="S45" s="21">
        <v>2121332</v>
      </c>
      <c r="T45" s="21"/>
      <c r="U45" s="21">
        <v>1092447</v>
      </c>
      <c r="V45" s="21">
        <v>74197267.03554669</v>
      </c>
      <c r="W45" s="21"/>
      <c r="X45" s="21"/>
      <c r="Y45" s="21"/>
      <c r="Z45" s="21">
        <v>21482860</v>
      </c>
      <c r="AA45" s="21">
        <v>22086</v>
      </c>
      <c r="AB45" s="21"/>
      <c r="AC45" s="21">
        <v>12456384</v>
      </c>
      <c r="AD45" s="21">
        <v>14028621</v>
      </c>
      <c r="AE45" s="21">
        <v>25724242</v>
      </c>
      <c r="AF45" s="21">
        <v>9741916</v>
      </c>
      <c r="AG45" s="21">
        <v>32118336</v>
      </c>
      <c r="AH45" s="21"/>
      <c r="AI45" s="21">
        <v>6291445</v>
      </c>
    </row>
    <row r="46" spans="1:67" x14ac:dyDescent="0.25">
      <c r="A46" s="25" t="s">
        <v>87</v>
      </c>
      <c r="B46" s="21"/>
      <c r="C46" s="21">
        <v>304167</v>
      </c>
      <c r="D46" s="21"/>
      <c r="E46" s="21"/>
      <c r="F46" s="21"/>
      <c r="G46" s="21"/>
      <c r="H46" s="21"/>
      <c r="I46" s="21">
        <v>412490</v>
      </c>
      <c r="J46" s="21">
        <v>150011</v>
      </c>
      <c r="K46" s="21"/>
      <c r="L46" s="21">
        <v>598834.35</v>
      </c>
      <c r="M46" s="21"/>
      <c r="N46" s="21">
        <v>155571</v>
      </c>
      <c r="O46" s="51">
        <v>8652653</v>
      </c>
      <c r="P46" s="21"/>
      <c r="Q46" s="21"/>
      <c r="R46" s="21"/>
      <c r="S46" s="21">
        <v>1335749</v>
      </c>
      <c r="T46" s="21"/>
      <c r="U46" s="21">
        <v>51802</v>
      </c>
      <c r="V46" s="21">
        <v>276163.08061800449</v>
      </c>
      <c r="W46" s="21"/>
      <c r="X46" s="21"/>
      <c r="Y46" s="21"/>
      <c r="Z46" s="21">
        <v>7795954</v>
      </c>
      <c r="AA46" s="21"/>
      <c r="AB46" s="21"/>
      <c r="AC46" s="21"/>
      <c r="AD46" s="21">
        <v>6225617</v>
      </c>
      <c r="AE46" s="21"/>
      <c r="AF46" s="21"/>
      <c r="AG46" s="21"/>
      <c r="AH46" s="21"/>
      <c r="AI46" s="21"/>
      <c r="BN46" s="150">
        <v>87308</v>
      </c>
      <c r="BO46" s="150">
        <v>231841</v>
      </c>
    </row>
    <row r="47" spans="1:67" x14ac:dyDescent="0.25">
      <c r="A47" s="25" t="s">
        <v>88</v>
      </c>
      <c r="B47" s="21"/>
      <c r="C47" s="21"/>
      <c r="D47" s="21"/>
      <c r="E47" s="21"/>
      <c r="F47" s="21"/>
      <c r="G47" s="21"/>
      <c r="H47" s="21">
        <v>134501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BN47" s="150">
        <v>0</v>
      </c>
      <c r="BO47" s="150">
        <v>1</v>
      </c>
    </row>
    <row r="48" spans="1:67" x14ac:dyDescent="0.25">
      <c r="A48" s="25" t="s">
        <v>89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BN48" s="150">
        <v>163665</v>
      </c>
      <c r="BO48" s="150">
        <v>238444</v>
      </c>
    </row>
    <row r="49" spans="1:67" x14ac:dyDescent="0.25">
      <c r="A49" s="25" t="s">
        <v>90</v>
      </c>
      <c r="B49" s="21"/>
      <c r="C49" s="21"/>
      <c r="D49" s="21"/>
      <c r="E49" s="21"/>
      <c r="F49" s="21"/>
      <c r="G49" s="21">
        <v>233012</v>
      </c>
      <c r="H49" s="21">
        <v>1220895</v>
      </c>
      <c r="I49" s="21"/>
      <c r="J49" s="21"/>
      <c r="K49" s="21"/>
      <c r="L49" s="21">
        <v>8988402.1099999994</v>
      </c>
      <c r="M49" s="21">
        <v>231341</v>
      </c>
      <c r="N49" s="21">
        <v>493418</v>
      </c>
      <c r="O49" s="51">
        <v>2693160</v>
      </c>
      <c r="P49" s="21"/>
      <c r="Q49" s="21">
        <v>24488</v>
      </c>
      <c r="R49" s="21"/>
      <c r="S49" s="21"/>
      <c r="T49" s="21"/>
      <c r="U49" s="21"/>
      <c r="V49" s="21">
        <v>104972317.07033122</v>
      </c>
      <c r="W49" s="21"/>
      <c r="X49" s="21"/>
      <c r="Y49" s="21"/>
      <c r="Z49" s="21">
        <v>1147212</v>
      </c>
      <c r="AA49" s="21"/>
      <c r="AB49" s="21"/>
      <c r="AC49" s="21"/>
      <c r="AD49" s="21"/>
      <c r="AE49" s="21"/>
      <c r="AF49" s="21"/>
      <c r="AG49" s="21">
        <v>5770864</v>
      </c>
      <c r="AH49" s="21"/>
      <c r="AI49" s="21"/>
      <c r="BN49" s="150">
        <v>-76357</v>
      </c>
      <c r="BO49" s="150">
        <v>-6602</v>
      </c>
    </row>
    <row r="50" spans="1:67" x14ac:dyDescent="0.25">
      <c r="A50" s="25" t="s">
        <v>91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51">
        <v>40020</v>
      </c>
      <c r="P50" s="21"/>
      <c r="Q50" s="21"/>
      <c r="R50" s="21"/>
      <c r="S50" s="21"/>
      <c r="T50" s="21"/>
      <c r="U50" s="21"/>
      <c r="V50" s="21">
        <v>393.91625978747066</v>
      </c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67" x14ac:dyDescent="0.25">
      <c r="A51" s="25" t="s">
        <v>92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>
        <v>495684.57511518331</v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67" x14ac:dyDescent="0.25">
      <c r="A52" s="25" t="s">
        <v>93</v>
      </c>
      <c r="B52" s="21">
        <v>205537</v>
      </c>
      <c r="C52" s="21">
        <v>395005</v>
      </c>
      <c r="D52" s="21"/>
      <c r="E52" s="21">
        <v>2730174</v>
      </c>
      <c r="F52" s="21"/>
      <c r="G52" s="21">
        <v>7479338</v>
      </c>
      <c r="H52" s="21">
        <v>17144340</v>
      </c>
      <c r="I52" s="21">
        <v>649607</v>
      </c>
      <c r="J52" s="21">
        <v>397125</v>
      </c>
      <c r="K52" s="21"/>
      <c r="L52" s="21">
        <f>6213467.47+2147279.7</f>
        <v>8360747.1699999999</v>
      </c>
      <c r="M52" s="21">
        <v>6150051</v>
      </c>
      <c r="N52" s="21">
        <v>753233</v>
      </c>
      <c r="O52" s="51">
        <v>12453093</v>
      </c>
      <c r="P52" s="21"/>
      <c r="Q52" s="21">
        <v>6428909</v>
      </c>
      <c r="R52" s="21">
        <v>561766</v>
      </c>
      <c r="S52" s="21">
        <v>4216477</v>
      </c>
      <c r="T52" s="21"/>
      <c r="U52" s="21">
        <v>751037</v>
      </c>
      <c r="V52" s="21">
        <v>24751267.78791564</v>
      </c>
      <c r="W52" s="21"/>
      <c r="X52" s="21"/>
      <c r="Y52" s="21"/>
      <c r="Z52" s="21">
        <v>28537753</v>
      </c>
      <c r="AA52" s="21"/>
      <c r="AB52" s="21"/>
      <c r="AC52" s="21">
        <v>8529067</v>
      </c>
      <c r="AD52" s="21">
        <v>5747758</v>
      </c>
      <c r="AE52" s="21">
        <v>4050679</v>
      </c>
      <c r="AF52" s="21">
        <v>1802645</v>
      </c>
      <c r="AG52" s="21">
        <v>14245473</v>
      </c>
      <c r="AH52" s="21"/>
      <c r="AI52" s="21">
        <v>2561284</v>
      </c>
    </row>
    <row r="53" spans="1:67" x14ac:dyDescent="0.25">
      <c r="A53" s="25" t="s">
        <v>244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>
        <v>2063433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67" x14ac:dyDescent="0.25">
      <c r="A54" s="25" t="s">
        <v>245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51">
        <v>359470</v>
      </c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>
        <v>426182</v>
      </c>
      <c r="AA54" s="21"/>
      <c r="AB54" s="21"/>
      <c r="AC54" s="21"/>
      <c r="AD54" s="21"/>
      <c r="AE54" s="21"/>
      <c r="AF54" s="21"/>
      <c r="AG54" s="21"/>
      <c r="AH54" s="21"/>
      <c r="AI54" s="21"/>
      <c r="BN54" s="143">
        <v>42084</v>
      </c>
      <c r="BO54" s="143">
        <v>107661</v>
      </c>
    </row>
    <row r="55" spans="1:67" x14ac:dyDescent="0.25">
      <c r="A55" s="25" t="s">
        <v>238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>
        <v>41257</v>
      </c>
      <c r="N55" s="21"/>
      <c r="O55" s="21"/>
      <c r="P55" s="21"/>
      <c r="Q55" s="21">
        <v>3885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BN55" s="143">
        <v>195</v>
      </c>
      <c r="BO55" s="143">
        <v>704</v>
      </c>
    </row>
    <row r="56" spans="1:67" x14ac:dyDescent="0.25">
      <c r="A56" s="25" t="s">
        <v>239</v>
      </c>
      <c r="B56" s="21"/>
      <c r="C56" s="21"/>
      <c r="D56" s="21"/>
      <c r="E56" s="21"/>
      <c r="F56" s="21"/>
      <c r="G56" s="21">
        <v>660107</v>
      </c>
      <c r="H56" s="21">
        <v>258467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>
        <v>41135</v>
      </c>
      <c r="AG56" s="21"/>
      <c r="AH56" s="21"/>
      <c r="AI56" s="21"/>
      <c r="BN56" s="143">
        <v>2000</v>
      </c>
      <c r="BO56" s="143">
        <v>8261</v>
      </c>
    </row>
    <row r="57" spans="1:67" x14ac:dyDescent="0.25">
      <c r="A57" s="25" t="s">
        <v>320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>
        <v>188586.66519895726</v>
      </c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BN57" s="143">
        <v>40279</v>
      </c>
      <c r="BO57" s="143">
        <v>100104</v>
      </c>
    </row>
    <row r="58" spans="1:67" x14ac:dyDescent="0.25">
      <c r="A58" s="25" t="s">
        <v>94</v>
      </c>
      <c r="B58" s="21">
        <v>354563</v>
      </c>
      <c r="C58" s="21">
        <f>551179+810812</f>
        <v>1361991</v>
      </c>
      <c r="D58" s="21"/>
      <c r="E58" s="21">
        <v>3273324</v>
      </c>
      <c r="F58" s="21"/>
      <c r="G58" s="21">
        <v>7510049</v>
      </c>
      <c r="H58" s="21">
        <v>11747643</v>
      </c>
      <c r="I58" s="21">
        <v>596666</v>
      </c>
      <c r="J58" s="21">
        <v>252050</v>
      </c>
      <c r="K58" s="21">
        <v>49229</v>
      </c>
      <c r="L58" s="21">
        <v>16258878.58</v>
      </c>
      <c r="M58" s="21">
        <v>9426408</v>
      </c>
      <c r="N58" s="21">
        <v>997781</v>
      </c>
      <c r="O58" s="51">
        <v>20761212</v>
      </c>
      <c r="P58" s="21"/>
      <c r="Q58" s="21">
        <v>22418168</v>
      </c>
      <c r="R58" s="21">
        <v>837651</v>
      </c>
      <c r="S58" s="21">
        <v>2949245</v>
      </c>
      <c r="T58" s="21"/>
      <c r="U58" s="21">
        <v>701639</v>
      </c>
      <c r="V58" s="21">
        <v>15961557.295088172</v>
      </c>
      <c r="W58" s="21"/>
      <c r="X58" s="21"/>
      <c r="Y58" s="21"/>
      <c r="Z58" s="21">
        <v>7025640</v>
      </c>
      <c r="AA58" s="21"/>
      <c r="AB58" s="21"/>
      <c r="AC58" s="21">
        <v>6434608</v>
      </c>
      <c r="AD58" s="21">
        <f>13045422-27436</f>
        <v>13017986</v>
      </c>
      <c r="AE58" s="21">
        <v>32082993</v>
      </c>
      <c r="AF58" s="21">
        <v>5888057</v>
      </c>
      <c r="AG58" s="21">
        <v>18075438</v>
      </c>
      <c r="AH58" s="21"/>
      <c r="AI58" s="21">
        <v>4895288</v>
      </c>
    </row>
    <row r="59" spans="1:67" x14ac:dyDescent="0.25">
      <c r="A59" s="25" t="s">
        <v>174</v>
      </c>
      <c r="B59" s="21"/>
      <c r="C59" s="21">
        <v>349679</v>
      </c>
      <c r="D59" s="21"/>
      <c r="E59" s="21"/>
      <c r="F59" s="21"/>
      <c r="G59" s="21">
        <f>-34335+1982050</f>
        <v>1947715</v>
      </c>
      <c r="H59" s="21">
        <f>3429053+118544</f>
        <v>3547597</v>
      </c>
      <c r="I59" s="21">
        <v>150155</v>
      </c>
      <c r="J59" s="21">
        <v>100072</v>
      </c>
      <c r="K59" s="21"/>
      <c r="L59" s="21">
        <v>1762506.05</v>
      </c>
      <c r="M59" s="21">
        <v>530316</v>
      </c>
      <c r="N59" s="21"/>
      <c r="O59" s="21">
        <f>283511+55924+79161</f>
        <v>418596</v>
      </c>
      <c r="P59" s="21"/>
      <c r="Q59" s="21">
        <f>14131+1293143-240899</f>
        <v>1066375</v>
      </c>
      <c r="R59" s="21">
        <v>53967</v>
      </c>
      <c r="S59" s="21">
        <v>74282</v>
      </c>
      <c r="T59" s="21"/>
      <c r="U59" s="21">
        <v>325349</v>
      </c>
      <c r="V59" s="21"/>
      <c r="W59" s="21"/>
      <c r="X59" s="21"/>
      <c r="Y59" s="21"/>
      <c r="Z59" s="21">
        <f>1793567-119331</f>
        <v>1674236</v>
      </c>
      <c r="AA59" s="21"/>
      <c r="AB59" s="21"/>
      <c r="AC59" s="21">
        <v>1672782</v>
      </c>
      <c r="AD59" s="21"/>
      <c r="AE59" s="21"/>
      <c r="AF59" s="21">
        <v>290402</v>
      </c>
      <c r="AG59" s="21">
        <v>3289916</v>
      </c>
      <c r="AH59" s="21"/>
      <c r="AI59" s="21">
        <v>212007</v>
      </c>
    </row>
    <row r="60" spans="1:67" s="15" customFormat="1" x14ac:dyDescent="0.25">
      <c r="A60" s="23" t="s">
        <v>175</v>
      </c>
      <c r="B60" s="24">
        <v>853559</v>
      </c>
      <c r="C60" s="24"/>
      <c r="D60" s="24"/>
      <c r="E60" s="24">
        <v>9721179</v>
      </c>
      <c r="F60" s="24"/>
      <c r="G60" s="24"/>
      <c r="H60" s="24">
        <v>61396435</v>
      </c>
      <c r="I60" s="24"/>
      <c r="J60" s="24"/>
      <c r="K60" s="24"/>
      <c r="L60" s="24">
        <v>56597790.460000001</v>
      </c>
      <c r="M60" s="24">
        <v>26371216</v>
      </c>
      <c r="N60" s="24">
        <v>6958077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>
        <v>61857914</v>
      </c>
      <c r="AF60" s="24"/>
      <c r="AG60" s="24"/>
      <c r="AH60" s="24"/>
      <c r="AI60" s="24"/>
      <c r="BN60" s="4"/>
      <c r="BO60" s="4"/>
    </row>
    <row r="61" spans="1:67" s="15" customFormat="1" x14ac:dyDescent="0.2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BN61" s="4"/>
      <c r="BO61" s="4"/>
    </row>
    <row r="62" spans="1:67" s="15" customFormat="1" x14ac:dyDescent="0.25">
      <c r="A62" s="23" t="s">
        <v>95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BN62" s="143">
        <v>3867</v>
      </c>
      <c r="BO62" s="143">
        <v>8651</v>
      </c>
    </row>
    <row r="63" spans="1:67" ht="30" x14ac:dyDescent="0.25">
      <c r="A63" s="25" t="s">
        <v>86</v>
      </c>
      <c r="B63" s="21">
        <v>139970</v>
      </c>
      <c r="C63" s="21"/>
      <c r="D63" s="21"/>
      <c r="E63" s="21">
        <v>534866</v>
      </c>
      <c r="F63" s="21"/>
      <c r="G63" s="21">
        <v>497504</v>
      </c>
      <c r="H63" s="21">
        <v>89851</v>
      </c>
      <c r="I63" s="21"/>
      <c r="J63" s="21"/>
      <c r="K63" s="21"/>
      <c r="L63" s="21">
        <f>890419.26+2154503.29</f>
        <v>3044922.55</v>
      </c>
      <c r="M63" s="21">
        <v>872949</v>
      </c>
      <c r="N63" s="21"/>
      <c r="O63" s="51"/>
      <c r="P63" s="21"/>
      <c r="Q63" s="21">
        <v>1204930</v>
      </c>
      <c r="R63" s="21">
        <v>148804</v>
      </c>
      <c r="S63" s="21">
        <v>847476</v>
      </c>
      <c r="T63" s="21"/>
      <c r="U63" s="21">
        <v>393555</v>
      </c>
      <c r="V63" s="21">
        <v>1376332</v>
      </c>
      <c r="W63" s="21"/>
      <c r="X63" s="21"/>
      <c r="Y63" s="21"/>
      <c r="Z63" s="21">
        <v>905269</v>
      </c>
      <c r="AA63" s="21">
        <v>3433</v>
      </c>
      <c r="AB63" s="21"/>
      <c r="AC63" s="21"/>
      <c r="AD63" s="21">
        <v>149548</v>
      </c>
      <c r="AE63" s="21">
        <v>49531</v>
      </c>
      <c r="AF63" s="21"/>
      <c r="AG63" s="21"/>
      <c r="AH63" s="21"/>
      <c r="AI63" s="21">
        <v>523306</v>
      </c>
      <c r="BN63" s="143">
        <v>3450</v>
      </c>
      <c r="BO63" s="143">
        <v>11506</v>
      </c>
    </row>
    <row r="64" spans="1:67" x14ac:dyDescent="0.25">
      <c r="A64" s="25" t="s">
        <v>87</v>
      </c>
      <c r="B64" s="21"/>
      <c r="C64" s="21"/>
      <c r="D64" s="21"/>
      <c r="E64" s="21"/>
      <c r="F64" s="21"/>
      <c r="G64" s="21"/>
      <c r="H64" s="21"/>
      <c r="I64" s="21"/>
      <c r="J64" s="21"/>
      <c r="K64" s="21">
        <v>5042</v>
      </c>
      <c r="L64" s="21"/>
      <c r="M64" s="21"/>
      <c r="N64" s="21"/>
      <c r="O64" s="21"/>
      <c r="P64" s="21"/>
      <c r="Q64" s="21">
        <v>4841456</v>
      </c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>
        <v>341645</v>
      </c>
      <c r="AE64" s="21">
        <v>539112</v>
      </c>
      <c r="AF64" s="21"/>
      <c r="AG64" s="21"/>
      <c r="AH64" s="21"/>
      <c r="AI64" s="21"/>
      <c r="BN64" s="143">
        <v>10979</v>
      </c>
      <c r="BO64" s="143">
        <v>35862</v>
      </c>
    </row>
    <row r="65" spans="1:67" x14ac:dyDescent="0.25">
      <c r="A65" s="25" t="s">
        <v>88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BN65" s="143">
        <v>-3662</v>
      </c>
      <c r="BO65" s="143">
        <v>-15705</v>
      </c>
    </row>
    <row r="66" spans="1:67" x14ac:dyDescent="0.25">
      <c r="A66" s="25" t="s">
        <v>89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67" x14ac:dyDescent="0.25">
      <c r="A67" s="25" t="s">
        <v>90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>
        <v>8674</v>
      </c>
      <c r="AA67" s="21"/>
      <c r="AB67" s="21"/>
      <c r="AC67" s="21">
        <v>2339527</v>
      </c>
      <c r="AD67" s="21"/>
      <c r="AE67" s="21"/>
      <c r="AF67" s="21"/>
      <c r="AG67" s="21"/>
      <c r="AH67" s="21"/>
      <c r="AI67" s="21">
        <v>223790</v>
      </c>
    </row>
    <row r="68" spans="1:67" x14ac:dyDescent="0.25">
      <c r="A68" s="25" t="s">
        <v>91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>
        <v>4344.9856463711185</v>
      </c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67" x14ac:dyDescent="0.25">
      <c r="A69" s="25" t="s">
        <v>92</v>
      </c>
      <c r="B69" s="21">
        <v>82003</v>
      </c>
      <c r="C69" s="21">
        <v>289332</v>
      </c>
      <c r="D69" s="21"/>
      <c r="E69" s="21">
        <v>935616</v>
      </c>
      <c r="F69" s="21"/>
      <c r="G69" s="21">
        <v>42969</v>
      </c>
      <c r="H69" s="21">
        <v>646324</v>
      </c>
      <c r="I69" s="21">
        <v>264189</v>
      </c>
      <c r="J69" s="21">
        <v>133236</v>
      </c>
      <c r="K69" s="21"/>
      <c r="L69" s="21">
        <v>498375.25</v>
      </c>
      <c r="M69" s="21">
        <v>81295</v>
      </c>
      <c r="N69" s="21"/>
      <c r="O69" s="51">
        <v>1679201</v>
      </c>
      <c r="P69" s="21"/>
      <c r="Q69" s="21"/>
      <c r="R69" s="21">
        <v>48412</v>
      </c>
      <c r="S69" s="21">
        <v>394478</v>
      </c>
      <c r="T69" s="21"/>
      <c r="U69" s="21">
        <v>175362</v>
      </c>
      <c r="V69" s="21">
        <v>615912</v>
      </c>
      <c r="W69" s="21"/>
      <c r="X69" s="21"/>
      <c r="Y69" s="21"/>
      <c r="Z69" s="21">
        <v>1876720</v>
      </c>
      <c r="AA69" s="21"/>
      <c r="AB69" s="21"/>
      <c r="AC69" s="21">
        <v>173672</v>
      </c>
      <c r="AD69" s="21">
        <v>2580646</v>
      </c>
      <c r="AE69" s="21"/>
      <c r="AF69" s="21"/>
      <c r="AG69" s="21">
        <v>569887</v>
      </c>
      <c r="AH69" s="21"/>
      <c r="AI69" s="21"/>
    </row>
    <row r="70" spans="1:67" x14ac:dyDescent="0.25">
      <c r="A70" s="25" t="s">
        <v>93</v>
      </c>
      <c r="B70" s="21"/>
      <c r="C70" s="21">
        <v>300523</v>
      </c>
      <c r="D70" s="21"/>
      <c r="E70" s="21">
        <v>500091</v>
      </c>
      <c r="F70" s="21"/>
      <c r="G70" s="21">
        <v>2280050</v>
      </c>
      <c r="H70" s="21">
        <v>3968356</v>
      </c>
      <c r="I70" s="21">
        <v>449134</v>
      </c>
      <c r="J70" s="21">
        <v>99874</v>
      </c>
      <c r="K70" s="21"/>
      <c r="L70" s="21">
        <f>1385391.26+334164.51</f>
        <v>1719555.77</v>
      </c>
      <c r="M70" s="21"/>
      <c r="N70" s="21">
        <v>349106</v>
      </c>
      <c r="O70" s="51">
        <v>993443</v>
      </c>
      <c r="P70" s="21"/>
      <c r="Q70" s="21">
        <v>2914932</v>
      </c>
      <c r="R70" s="21">
        <v>112213</v>
      </c>
      <c r="S70" s="21">
        <v>1002057</v>
      </c>
      <c r="T70" s="21"/>
      <c r="U70" s="21">
        <v>544537</v>
      </c>
      <c r="V70" s="21">
        <v>2586251</v>
      </c>
      <c r="W70" s="21"/>
      <c r="X70" s="21"/>
      <c r="Y70" s="21"/>
      <c r="Z70" s="21">
        <v>6402453</v>
      </c>
      <c r="AA70" s="21"/>
      <c r="AB70" s="21"/>
      <c r="AC70" s="21">
        <v>4737099</v>
      </c>
      <c r="AD70" s="21">
        <f>3848934-193059</f>
        <v>3655875</v>
      </c>
      <c r="AE70" s="21">
        <v>502898</v>
      </c>
      <c r="AF70" s="21">
        <v>24847</v>
      </c>
      <c r="AG70" s="21">
        <v>1627954</v>
      </c>
      <c r="AH70" s="21"/>
      <c r="AI70" s="21">
        <v>3408193</v>
      </c>
    </row>
    <row r="71" spans="1:67" x14ac:dyDescent="0.25">
      <c r="A71" s="25" t="s">
        <v>244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>
        <v>2046519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67" x14ac:dyDescent="0.25">
      <c r="A72" s="25" t="s">
        <v>314</v>
      </c>
      <c r="B72" s="21">
        <v>15668</v>
      </c>
      <c r="C72" s="21"/>
      <c r="D72" s="21"/>
      <c r="E72" s="21"/>
      <c r="F72" s="21"/>
      <c r="G72" s="21"/>
      <c r="H72" s="21"/>
      <c r="I72" s="21"/>
      <c r="J72" s="21">
        <v>49914</v>
      </c>
      <c r="K72" s="21"/>
      <c r="L72" s="21"/>
      <c r="M72" s="21">
        <f>520568+1458968</f>
        <v>1979536</v>
      </c>
      <c r="N72" s="21"/>
      <c r="O72" s="51">
        <v>1134190</v>
      </c>
      <c r="P72" s="21"/>
      <c r="Q72" s="21">
        <v>581084</v>
      </c>
      <c r="R72" s="21"/>
      <c r="S72" s="21">
        <v>181590</v>
      </c>
      <c r="T72" s="21"/>
      <c r="U72" s="21">
        <v>570900</v>
      </c>
      <c r="V72" s="21">
        <v>7545349</v>
      </c>
      <c r="W72" s="21"/>
      <c r="X72" s="21"/>
      <c r="Y72" s="21"/>
      <c r="Z72" s="21">
        <v>855257</v>
      </c>
      <c r="AA72" s="21"/>
      <c r="AB72" s="21"/>
      <c r="AC72" s="21">
        <v>860547</v>
      </c>
      <c r="AD72" s="21">
        <f>246324+395771</f>
        <v>642095</v>
      </c>
      <c r="AE72" s="21">
        <v>1200918</v>
      </c>
      <c r="AF72" s="21"/>
      <c r="AG72" s="21">
        <v>712925</v>
      </c>
      <c r="AH72" s="21"/>
      <c r="AI72" s="21">
        <v>457187</v>
      </c>
    </row>
    <row r="73" spans="1:67" x14ac:dyDescent="0.25">
      <c r="A73" s="25" t="s">
        <v>238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5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67" x14ac:dyDescent="0.25">
      <c r="A74" s="25" t="s">
        <v>315</v>
      </c>
      <c r="B74" s="21"/>
      <c r="C74" s="21">
        <v>40000</v>
      </c>
      <c r="D74" s="21"/>
      <c r="E74" s="21"/>
      <c r="F74" s="21"/>
      <c r="G74" s="21"/>
      <c r="H74" s="21">
        <v>493170</v>
      </c>
      <c r="I74" s="21"/>
      <c r="J74" s="21">
        <v>50000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>
        <v>2069</v>
      </c>
      <c r="AB74" s="21"/>
      <c r="AC74" s="21">
        <v>118484</v>
      </c>
      <c r="AD74" s="21">
        <v>31100</v>
      </c>
      <c r="AE74" s="21"/>
      <c r="AF74" s="21"/>
      <c r="AG74" s="21"/>
      <c r="AH74" s="21"/>
      <c r="AI74" s="21"/>
    </row>
    <row r="75" spans="1:67" x14ac:dyDescent="0.25">
      <c r="A75" s="25" t="s">
        <v>94</v>
      </c>
      <c r="B75" s="21">
        <v>146869</v>
      </c>
      <c r="C75" s="21"/>
      <c r="D75" s="21"/>
      <c r="E75" s="21">
        <v>699740</v>
      </c>
      <c r="F75" s="21"/>
      <c r="G75" s="21">
        <v>1629253</v>
      </c>
      <c r="H75" s="21">
        <v>628685</v>
      </c>
      <c r="I75" s="21">
        <v>100215</v>
      </c>
      <c r="J75" s="21"/>
      <c r="K75" s="21"/>
      <c r="L75" s="21">
        <v>969912.44</v>
      </c>
      <c r="M75" s="21">
        <v>832985</v>
      </c>
      <c r="N75" s="21">
        <v>99917</v>
      </c>
      <c r="O75" s="51">
        <v>3016923</v>
      </c>
      <c r="P75" s="21"/>
      <c r="Q75" s="21">
        <v>3201634</v>
      </c>
      <c r="R75" s="21">
        <v>148412</v>
      </c>
      <c r="S75" s="21">
        <v>260309</v>
      </c>
      <c r="T75" s="21"/>
      <c r="U75" s="21">
        <v>149977</v>
      </c>
      <c r="V75" s="21">
        <v>2110163</v>
      </c>
      <c r="W75" s="21"/>
      <c r="X75" s="21"/>
      <c r="Y75" s="21"/>
      <c r="Z75" s="21">
        <v>1789926</v>
      </c>
      <c r="AA75" s="21"/>
      <c r="AB75" s="21"/>
      <c r="AC75" s="21">
        <v>2091848</v>
      </c>
      <c r="AD75" s="21">
        <f>2982186-55104</f>
        <v>2927082</v>
      </c>
      <c r="AE75" s="21">
        <v>18264416</v>
      </c>
      <c r="AF75" s="21">
        <v>59091</v>
      </c>
      <c r="AG75" s="21">
        <v>5326570</v>
      </c>
      <c r="AH75" s="21"/>
      <c r="AI75" s="21">
        <v>788589</v>
      </c>
    </row>
    <row r="76" spans="1:67" x14ac:dyDescent="0.25">
      <c r="A76" s="25" t="s">
        <v>174</v>
      </c>
      <c r="B76" s="21"/>
      <c r="C76" s="21"/>
      <c r="D76" s="21"/>
      <c r="E76" s="21"/>
      <c r="F76" s="21"/>
      <c r="G76" s="21">
        <f>-25746+1202354</f>
        <v>1176608</v>
      </c>
      <c r="H76" s="21">
        <v>889261</v>
      </c>
      <c r="I76" s="21">
        <v>49888</v>
      </c>
      <c r="J76" s="21"/>
      <c r="K76" s="21"/>
      <c r="L76" s="21">
        <v>377685.08</v>
      </c>
      <c r="M76" s="21">
        <v>104871</v>
      </c>
      <c r="N76" s="21"/>
      <c r="O76" s="51">
        <v>278031</v>
      </c>
      <c r="P76" s="21"/>
      <c r="Q76" s="21">
        <f>622097-69939</f>
        <v>552158</v>
      </c>
      <c r="R76" s="21"/>
      <c r="S76" s="21">
        <v>111424</v>
      </c>
      <c r="T76" s="21"/>
      <c r="U76" s="21">
        <v>99718</v>
      </c>
      <c r="V76" s="21"/>
      <c r="W76" s="21"/>
      <c r="X76" s="21"/>
      <c r="Y76" s="21"/>
      <c r="Z76" s="21">
        <f>298328-89498</f>
        <v>208830</v>
      </c>
      <c r="AA76" s="21"/>
      <c r="AB76" s="21"/>
      <c r="AC76" s="21">
        <v>676954</v>
      </c>
      <c r="AD76" s="21"/>
      <c r="AE76" s="21"/>
      <c r="AF76" s="21">
        <v>29500</v>
      </c>
      <c r="AG76" s="21"/>
      <c r="AH76" s="21"/>
      <c r="AI76" s="21">
        <v>126858</v>
      </c>
    </row>
    <row r="77" spans="1:67" s="15" customFormat="1" x14ac:dyDescent="0.25">
      <c r="A77" s="23" t="s">
        <v>176</v>
      </c>
      <c r="B77" s="24">
        <v>384510</v>
      </c>
      <c r="C77" s="24"/>
      <c r="D77" s="24"/>
      <c r="E77" s="24">
        <v>2670313</v>
      </c>
      <c r="F77" s="24"/>
      <c r="G77" s="24"/>
      <c r="H77" s="24">
        <v>6715647</v>
      </c>
      <c r="I77" s="24"/>
      <c r="J77" s="24"/>
      <c r="K77" s="24"/>
      <c r="L77" s="24">
        <v>6610451.0899999999</v>
      </c>
      <c r="M77" s="24">
        <v>3871636</v>
      </c>
      <c r="N77" s="24">
        <v>449023</v>
      </c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>
        <v>20556875</v>
      </c>
      <c r="AF77" s="24"/>
      <c r="AG77" s="24"/>
      <c r="AH77" s="24"/>
      <c r="AI77" s="24"/>
    </row>
    <row r="78" spans="1:67" s="15" customFormat="1" ht="15" customHeight="1" x14ac:dyDescent="0.25">
      <c r="A78" s="23" t="s">
        <v>61</v>
      </c>
      <c r="B78" s="24">
        <v>1238069</v>
      </c>
      <c r="C78" s="24">
        <v>3441875</v>
      </c>
      <c r="D78" s="24"/>
      <c r="E78" s="24">
        <v>12391492</v>
      </c>
      <c r="F78" s="24"/>
      <c r="G78" s="24">
        <v>33319105</v>
      </c>
      <c r="H78" s="24">
        <v>68112083</v>
      </c>
      <c r="I78" s="24">
        <v>3451423</v>
      </c>
      <c r="J78" s="24">
        <v>1586188</v>
      </c>
      <c r="K78" s="24">
        <v>346708</v>
      </c>
      <c r="L78" s="24">
        <v>63208241.549999997</v>
      </c>
      <c r="M78" s="24">
        <v>30242852</v>
      </c>
      <c r="N78" s="24">
        <v>7407100</v>
      </c>
      <c r="O78" s="52">
        <v>72068296</v>
      </c>
      <c r="P78" s="24"/>
      <c r="Q78" s="24">
        <v>69235852</v>
      </c>
      <c r="R78" s="24">
        <v>3202128</v>
      </c>
      <c r="S78" s="24">
        <v>13494419</v>
      </c>
      <c r="T78" s="24"/>
      <c r="U78" s="24">
        <v>4856322</v>
      </c>
      <c r="V78" s="24">
        <v>235081590.41172001</v>
      </c>
      <c r="W78" s="24"/>
      <c r="X78" s="24"/>
      <c r="Y78" s="24"/>
      <c r="Z78" s="24">
        <v>80136966</v>
      </c>
      <c r="AA78" s="24">
        <v>27588</v>
      </c>
      <c r="AB78" s="24"/>
      <c r="AC78" s="24">
        <v>40090972</v>
      </c>
      <c r="AD78" s="24">
        <v>49347973</v>
      </c>
      <c r="AE78" s="24">
        <v>82414789</v>
      </c>
      <c r="AF78" s="24">
        <v>17877593</v>
      </c>
      <c r="AG78" s="24">
        <v>81737363</v>
      </c>
      <c r="AH78" s="24"/>
      <c r="AI78" s="24">
        <v>19487947</v>
      </c>
      <c r="BN78" s="150">
        <v>2908479</v>
      </c>
      <c r="BO78" s="150">
        <v>8649243</v>
      </c>
    </row>
    <row r="79" spans="1:67" s="15" customFormat="1" x14ac:dyDescent="0.25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BN79" s="150">
        <v>56227</v>
      </c>
      <c r="BO79" s="150">
        <v>339254</v>
      </c>
    </row>
    <row r="80" spans="1:67" x14ac:dyDescent="0.25">
      <c r="A80" s="62" t="s">
        <v>61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BN80" s="150">
        <v>593926</v>
      </c>
      <c r="BO80" s="150">
        <v>1661469</v>
      </c>
    </row>
    <row r="81" spans="1:67" s="22" customFormat="1" x14ac:dyDescent="0.25">
      <c r="A81" s="133" t="s">
        <v>0</v>
      </c>
      <c r="B81" s="132" t="s">
        <v>1</v>
      </c>
      <c r="C81" s="132" t="s">
        <v>2</v>
      </c>
      <c r="D81" s="132" t="s">
        <v>3</v>
      </c>
      <c r="E81" s="132" t="s">
        <v>4</v>
      </c>
      <c r="F81" s="132" t="s">
        <v>5</v>
      </c>
      <c r="G81" s="132" t="s">
        <v>6</v>
      </c>
      <c r="H81" s="132" t="s">
        <v>7</v>
      </c>
      <c r="I81" s="132" t="s">
        <v>8</v>
      </c>
      <c r="J81" s="132" t="s">
        <v>9</v>
      </c>
      <c r="K81" s="132" t="s">
        <v>10</v>
      </c>
      <c r="L81" s="132" t="s">
        <v>11</v>
      </c>
      <c r="M81" s="132" t="s">
        <v>12</v>
      </c>
      <c r="N81" s="132" t="s">
        <v>13</v>
      </c>
      <c r="O81" s="132" t="s">
        <v>14</v>
      </c>
      <c r="P81" s="132" t="s">
        <v>15</v>
      </c>
      <c r="Q81" s="132" t="s">
        <v>16</v>
      </c>
      <c r="R81" s="132" t="s">
        <v>17</v>
      </c>
      <c r="S81" s="132" t="s">
        <v>18</v>
      </c>
      <c r="T81" s="132" t="s">
        <v>19</v>
      </c>
      <c r="U81" s="132" t="s">
        <v>20</v>
      </c>
      <c r="V81" s="132" t="s">
        <v>21</v>
      </c>
      <c r="W81" s="132" t="s">
        <v>147</v>
      </c>
      <c r="X81" s="132" t="s">
        <v>148</v>
      </c>
      <c r="Y81" s="132" t="s">
        <v>22</v>
      </c>
      <c r="Z81" s="132" t="s">
        <v>23</v>
      </c>
      <c r="AA81" s="132" t="s">
        <v>332</v>
      </c>
      <c r="AB81" s="132" t="s">
        <v>24</v>
      </c>
      <c r="AC81" s="132" t="s">
        <v>25</v>
      </c>
      <c r="AD81" s="132" t="s">
        <v>26</v>
      </c>
      <c r="AE81" s="132" t="s">
        <v>27</v>
      </c>
      <c r="AF81" s="132" t="s">
        <v>28</v>
      </c>
      <c r="AG81" s="132" t="s">
        <v>29</v>
      </c>
      <c r="AH81" s="132" t="s">
        <v>30</v>
      </c>
      <c r="AI81" s="132" t="s">
        <v>31</v>
      </c>
      <c r="BN81" s="150">
        <v>2370780</v>
      </c>
      <c r="BO81" s="150">
        <v>7327028</v>
      </c>
    </row>
    <row r="82" spans="1:67" s="15" customFormat="1" x14ac:dyDescent="0.25">
      <c r="A82" s="23" t="s">
        <v>85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</row>
    <row r="83" spans="1:67" ht="30" x14ac:dyDescent="0.25">
      <c r="A83" s="25" t="s">
        <v>86</v>
      </c>
      <c r="B83" s="21"/>
      <c r="C83" s="21"/>
      <c r="D83" s="21">
        <v>11498167</v>
      </c>
      <c r="E83" s="21"/>
      <c r="F83" s="21">
        <v>72127051</v>
      </c>
      <c r="G83" s="21"/>
      <c r="H83" s="21"/>
      <c r="I83" s="21"/>
      <c r="J83" s="21"/>
      <c r="K83" s="21"/>
      <c r="L83" s="21"/>
      <c r="M83" s="21"/>
      <c r="N83" s="21"/>
      <c r="O83" s="21"/>
      <c r="P83" s="21">
        <v>65226376</v>
      </c>
      <c r="Q83" s="21"/>
      <c r="R83" s="21"/>
      <c r="S83" s="21"/>
      <c r="T83" s="21">
        <v>4969066</v>
      </c>
      <c r="U83" s="21"/>
      <c r="V83" s="21"/>
      <c r="W83" s="21">
        <v>198269592</v>
      </c>
      <c r="X83" s="21">
        <v>82604891</v>
      </c>
      <c r="Y83" s="21">
        <v>1271370</v>
      </c>
      <c r="Z83" s="21"/>
      <c r="AA83" s="21"/>
      <c r="AB83" s="21">
        <v>2969493</v>
      </c>
      <c r="AC83" s="21"/>
      <c r="AD83" s="21"/>
      <c r="AE83" s="21"/>
      <c r="AF83" s="21"/>
      <c r="AG83" s="21"/>
      <c r="AH83" s="21">
        <v>114619442</v>
      </c>
      <c r="AI83" s="21"/>
    </row>
    <row r="84" spans="1:67" x14ac:dyDescent="0.25">
      <c r="A84" s="25" t="s">
        <v>87</v>
      </c>
      <c r="B84" s="21"/>
      <c r="C84" s="21"/>
      <c r="D84" s="21">
        <v>8878522</v>
      </c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>
        <v>666595</v>
      </c>
      <c r="U84" s="21"/>
      <c r="V84" s="21"/>
      <c r="W84" s="21"/>
      <c r="X84" s="21">
        <v>642950</v>
      </c>
      <c r="Y84" s="21"/>
      <c r="Z84" s="21"/>
      <c r="AA84" s="21"/>
      <c r="AB84" s="21">
        <v>1232837</v>
      </c>
      <c r="AC84" s="21"/>
      <c r="AD84" s="21"/>
      <c r="AE84" s="21"/>
      <c r="AF84" s="21"/>
      <c r="AG84" s="21"/>
      <c r="AH84" s="21"/>
      <c r="AI84" s="21"/>
    </row>
    <row r="85" spans="1:67" x14ac:dyDescent="0.25">
      <c r="A85" s="25" t="s">
        <v>88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</row>
    <row r="86" spans="1:67" x14ac:dyDescent="0.25">
      <c r="A86" s="25" t="s">
        <v>89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</row>
    <row r="87" spans="1:67" x14ac:dyDescent="0.25">
      <c r="A87" s="25" t="s">
        <v>90</v>
      </c>
      <c r="B87" s="21"/>
      <c r="C87" s="21"/>
      <c r="D87" s="21">
        <v>2683257</v>
      </c>
      <c r="E87" s="21"/>
      <c r="F87" s="21">
        <v>14432322</v>
      </c>
      <c r="G87" s="21"/>
      <c r="H87" s="21"/>
      <c r="I87" s="21"/>
      <c r="J87" s="21"/>
      <c r="K87" s="21"/>
      <c r="L87" s="21"/>
      <c r="M87" s="21"/>
      <c r="N87" s="21"/>
      <c r="O87" s="21"/>
      <c r="P87" s="21">
        <v>21241108</v>
      </c>
      <c r="Q87" s="21"/>
      <c r="R87" s="21"/>
      <c r="S87" s="21"/>
      <c r="T87" s="21"/>
      <c r="U87" s="21"/>
      <c r="V87" s="21"/>
      <c r="W87" s="21">
        <v>258045883</v>
      </c>
      <c r="X87" s="21">
        <v>95071523</v>
      </c>
      <c r="Y87" s="21"/>
      <c r="Z87" s="21"/>
      <c r="AA87" s="21"/>
      <c r="AB87" s="21">
        <v>18681</v>
      </c>
      <c r="AC87" s="21"/>
      <c r="AD87" s="21"/>
      <c r="AE87" s="21"/>
      <c r="AF87" s="21"/>
      <c r="AG87" s="21"/>
      <c r="AH87" s="21">
        <v>84080593</v>
      </c>
      <c r="AI87" s="21"/>
    </row>
    <row r="88" spans="1:67" x14ac:dyDescent="0.25">
      <c r="A88" s="25" t="s">
        <v>91</v>
      </c>
      <c r="B88" s="21"/>
      <c r="C88" s="21"/>
      <c r="D88" s="21"/>
      <c r="E88" s="21"/>
      <c r="F88" s="21">
        <v>732500</v>
      </c>
      <c r="G88" s="21"/>
      <c r="H88" s="21"/>
      <c r="I88" s="21"/>
      <c r="J88" s="21"/>
      <c r="K88" s="21"/>
      <c r="L88" s="21"/>
      <c r="M88" s="21"/>
      <c r="N88" s="21"/>
      <c r="O88" s="21"/>
      <c r="P88" s="21">
        <v>367548</v>
      </c>
      <c r="Q88" s="21"/>
      <c r="R88" s="21"/>
      <c r="S88" s="21"/>
      <c r="T88" s="21">
        <v>36010</v>
      </c>
      <c r="U88" s="21"/>
      <c r="V88" s="21"/>
      <c r="W88" s="21">
        <v>973</v>
      </c>
      <c r="X88" s="21">
        <v>21782</v>
      </c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</row>
    <row r="89" spans="1:67" x14ac:dyDescent="0.25">
      <c r="A89" s="25" t="s">
        <v>92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>
        <v>960551</v>
      </c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</row>
    <row r="90" spans="1:67" x14ac:dyDescent="0.25">
      <c r="A90" s="25" t="s">
        <v>93</v>
      </c>
      <c r="B90" s="44"/>
      <c r="C90" s="21"/>
      <c r="D90" s="21">
        <v>8805534</v>
      </c>
      <c r="E90" s="21"/>
      <c r="F90" s="21">
        <v>21358451</v>
      </c>
      <c r="G90" s="21"/>
      <c r="H90" s="21"/>
      <c r="I90" s="21"/>
      <c r="J90" s="21"/>
      <c r="K90" s="21"/>
      <c r="L90" s="21"/>
      <c r="M90" s="21"/>
      <c r="N90" s="21"/>
      <c r="O90" s="21"/>
      <c r="P90" s="21">
        <v>47467175</v>
      </c>
      <c r="Q90" s="21"/>
      <c r="R90" s="21"/>
      <c r="S90" s="21"/>
      <c r="T90" s="21">
        <v>4459883</v>
      </c>
      <c r="U90" s="21"/>
      <c r="V90" s="21"/>
      <c r="W90" s="21">
        <v>23410965</v>
      </c>
      <c r="X90" s="21">
        <v>10546422</v>
      </c>
      <c r="Y90" s="21">
        <v>707414</v>
      </c>
      <c r="Z90" s="21"/>
      <c r="AA90" s="21"/>
      <c r="AB90" s="21">
        <v>2183996</v>
      </c>
      <c r="AC90" s="21"/>
      <c r="AD90" s="21"/>
      <c r="AE90" s="21"/>
      <c r="AF90" s="21"/>
      <c r="AG90" s="21"/>
      <c r="AH90" s="21">
        <v>21536044</v>
      </c>
      <c r="AI90" s="21"/>
    </row>
    <row r="91" spans="1:67" x14ac:dyDescent="0.25">
      <c r="A91" s="25" t="s">
        <v>247</v>
      </c>
      <c r="B91" s="44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</row>
    <row r="92" spans="1:67" x14ac:dyDescent="0.25">
      <c r="A92" s="25" t="s">
        <v>245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>
        <v>6449675</v>
      </c>
      <c r="Q92" s="21"/>
      <c r="R92" s="21"/>
      <c r="S92" s="21"/>
      <c r="T92" s="21">
        <v>200000</v>
      </c>
      <c r="U92" s="21"/>
      <c r="V92" s="21"/>
      <c r="W92" s="21">
        <v>33459</v>
      </c>
      <c r="X92" s="21">
        <v>481219</v>
      </c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67" x14ac:dyDescent="0.25">
      <c r="A93" s="25" t="s">
        <v>238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>
        <v>487040</v>
      </c>
      <c r="X93" s="21">
        <v>500</v>
      </c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67" x14ac:dyDescent="0.25">
      <c r="A94" s="25" t="s">
        <v>239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>
        <v>1092372</v>
      </c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67" x14ac:dyDescent="0.25">
      <c r="A95" s="25" t="s">
        <v>94</v>
      </c>
      <c r="B95" s="21"/>
      <c r="C95" s="21"/>
      <c r="D95" s="21">
        <v>6409611</v>
      </c>
      <c r="E95" s="21"/>
      <c r="F95" s="21">
        <v>41558855</v>
      </c>
      <c r="G95" s="21"/>
      <c r="H95" s="21"/>
      <c r="I95" s="21"/>
      <c r="J95" s="21"/>
      <c r="K95" s="21"/>
      <c r="L95" s="21"/>
      <c r="M95" s="21"/>
      <c r="N95" s="21"/>
      <c r="O95" s="21"/>
      <c r="P95" s="21">
        <v>63140758</v>
      </c>
      <c r="Q95" s="21"/>
      <c r="R95" s="21"/>
      <c r="S95" s="21"/>
      <c r="T95" s="21">
        <v>2447310</v>
      </c>
      <c r="U95" s="21"/>
      <c r="V95" s="21"/>
      <c r="W95" s="21">
        <v>48710613</v>
      </c>
      <c r="X95" s="21">
        <v>34041749</v>
      </c>
      <c r="Y95" s="21">
        <v>862973</v>
      </c>
      <c r="Z95" s="21"/>
      <c r="AA95" s="21"/>
      <c r="AB95" s="21">
        <f>3196562+1205618</f>
        <v>4402180</v>
      </c>
      <c r="AC95" s="21"/>
      <c r="AD95" s="21"/>
      <c r="AE95" s="21"/>
      <c r="AF95" s="21"/>
      <c r="AG95" s="21"/>
      <c r="AH95" s="21">
        <v>53334232</v>
      </c>
      <c r="AI95" s="21"/>
    </row>
    <row r="96" spans="1:67" x14ac:dyDescent="0.25">
      <c r="A96" s="25" t="s">
        <v>174</v>
      </c>
      <c r="B96" s="21"/>
      <c r="C96" s="21"/>
      <c r="D96" s="21">
        <v>100000</v>
      </c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>
        <v>323498</v>
      </c>
      <c r="U96" s="21"/>
      <c r="V96" s="21"/>
      <c r="W96" s="21">
        <v>36093350</v>
      </c>
      <c r="X96" s="21"/>
      <c r="Y96" s="21">
        <v>149964</v>
      </c>
      <c r="Z96" s="21"/>
      <c r="AA96" s="21"/>
      <c r="AB96" s="21">
        <v>50000</v>
      </c>
      <c r="AC96" s="21"/>
      <c r="AD96" s="21"/>
      <c r="AE96" s="21"/>
      <c r="AF96" s="21"/>
      <c r="AG96" s="21"/>
      <c r="AH96" s="21">
        <v>19260673</v>
      </c>
      <c r="AI96" s="21"/>
    </row>
    <row r="97" spans="1:35" s="15" customFormat="1" x14ac:dyDescent="0.25">
      <c r="A97" s="23" t="s">
        <v>175</v>
      </c>
      <c r="B97" s="24"/>
      <c r="C97" s="24"/>
      <c r="D97" s="24">
        <v>38375090</v>
      </c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>
        <v>13102362</v>
      </c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>
        <v>292830984</v>
      </c>
      <c r="AI97" s="24"/>
    </row>
    <row r="98" spans="1:35" s="15" customFormat="1" x14ac:dyDescent="0.25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s="15" customFormat="1" x14ac:dyDescent="0.25">
      <c r="A99" s="23" t="s">
        <v>95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ht="30" x14ac:dyDescent="0.25">
      <c r="A100" s="25" t="s">
        <v>86</v>
      </c>
      <c r="B100" s="21"/>
      <c r="C100" s="21"/>
      <c r="D100" s="21">
        <v>7531427</v>
      </c>
      <c r="E100" s="21"/>
      <c r="F100" s="21">
        <v>2299559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>
        <v>2192473</v>
      </c>
      <c r="Q100" s="21"/>
      <c r="R100" s="21"/>
      <c r="S100" s="21"/>
      <c r="T100" s="21"/>
      <c r="U100" s="21"/>
      <c r="V100" s="21"/>
      <c r="W100" s="21">
        <v>9617993</v>
      </c>
      <c r="X100" s="21">
        <v>2437274</v>
      </c>
      <c r="Y100" s="21">
        <v>149419</v>
      </c>
      <c r="Z100" s="21"/>
      <c r="AA100" s="21"/>
      <c r="AB100" s="21">
        <v>100021</v>
      </c>
      <c r="AC100" s="21"/>
      <c r="AD100" s="21"/>
      <c r="AE100" s="21"/>
      <c r="AF100" s="21"/>
      <c r="AG100" s="21"/>
      <c r="AH100" s="21">
        <v>2798556</v>
      </c>
      <c r="AI100" s="21"/>
    </row>
    <row r="101" spans="1:35" x14ac:dyDescent="0.25">
      <c r="A101" s="25" t="s">
        <v>87</v>
      </c>
      <c r="B101" s="21"/>
      <c r="C101" s="21"/>
      <c r="D101" s="21">
        <v>1116493</v>
      </c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>
        <v>8997073</v>
      </c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>
        <v>16996</v>
      </c>
      <c r="AC101" s="21"/>
      <c r="AD101" s="21"/>
      <c r="AE101" s="21"/>
      <c r="AF101" s="21"/>
      <c r="AG101" s="21"/>
      <c r="AH101" s="21"/>
      <c r="AI101" s="21"/>
    </row>
    <row r="102" spans="1:35" x14ac:dyDescent="0.25">
      <c r="A102" s="25" t="s">
        <v>88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</row>
    <row r="103" spans="1:35" x14ac:dyDescent="0.25">
      <c r="A103" s="25" t="s">
        <v>89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</row>
    <row r="104" spans="1:35" x14ac:dyDescent="0.25">
      <c r="A104" s="25" t="s">
        <v>90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</row>
    <row r="105" spans="1:35" x14ac:dyDescent="0.25">
      <c r="A105" s="25" t="s">
        <v>91</v>
      </c>
      <c r="B105" s="21"/>
      <c r="C105" s="21"/>
      <c r="D105" s="21"/>
      <c r="E105" s="21"/>
      <c r="F105" s="21">
        <v>350000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>
        <v>18005</v>
      </c>
      <c r="U105" s="21"/>
      <c r="V105" s="21"/>
      <c r="W105" s="21"/>
      <c r="X105" s="21">
        <v>1741</v>
      </c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</row>
    <row r="106" spans="1:35" x14ac:dyDescent="0.25">
      <c r="A106" s="25" t="s">
        <v>92</v>
      </c>
      <c r="B106" s="21"/>
      <c r="C106" s="21"/>
      <c r="D106" s="21">
        <v>4839907</v>
      </c>
      <c r="E106" s="21"/>
      <c r="F106" s="21">
        <v>1676160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>
        <v>1012359</v>
      </c>
      <c r="Q106" s="21"/>
      <c r="R106" s="21"/>
      <c r="S106" s="21"/>
      <c r="T106" s="21">
        <v>165428</v>
      </c>
      <c r="U106" s="21"/>
      <c r="V106" s="21"/>
      <c r="W106" s="21"/>
      <c r="X106" s="21">
        <v>13479546</v>
      </c>
      <c r="Y106" s="21">
        <v>296819</v>
      </c>
      <c r="Z106" s="21"/>
      <c r="AA106" s="21"/>
      <c r="AB106" s="21">
        <v>20020</v>
      </c>
      <c r="AC106" s="21"/>
      <c r="AD106" s="21"/>
      <c r="AE106" s="21"/>
      <c r="AF106" s="21"/>
      <c r="AG106" s="21"/>
      <c r="AH106" s="21">
        <v>10564245</v>
      </c>
      <c r="AI106" s="21"/>
    </row>
    <row r="107" spans="1:35" x14ac:dyDescent="0.25">
      <c r="A107" s="25" t="s">
        <v>93</v>
      </c>
      <c r="B107" s="21"/>
      <c r="C107" s="21"/>
      <c r="D107" s="21">
        <v>5096983</v>
      </c>
      <c r="E107" s="21"/>
      <c r="F107" s="21">
        <v>5548044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>
        <v>1799927</v>
      </c>
      <c r="Q107" s="21"/>
      <c r="R107" s="21"/>
      <c r="S107" s="21"/>
      <c r="T107" s="21">
        <v>651029</v>
      </c>
      <c r="U107" s="21"/>
      <c r="V107" s="21"/>
      <c r="W107" s="21">
        <v>4774927</v>
      </c>
      <c r="X107" s="21">
        <v>3083583</v>
      </c>
      <c r="Y107" s="21">
        <v>500111</v>
      </c>
      <c r="Z107" s="21"/>
      <c r="AA107" s="21"/>
      <c r="AB107" s="21">
        <v>913478</v>
      </c>
      <c r="AC107" s="21"/>
      <c r="AD107" s="21"/>
      <c r="AE107" s="21"/>
      <c r="AF107" s="21"/>
      <c r="AG107" s="21"/>
      <c r="AH107" s="21"/>
      <c r="AI107" s="21"/>
    </row>
    <row r="108" spans="1:35" x14ac:dyDescent="0.25">
      <c r="A108" s="25" t="s">
        <v>248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35" x14ac:dyDescent="0.25">
      <c r="A109" s="25" t="s">
        <v>249</v>
      </c>
      <c r="B109" s="21"/>
      <c r="C109" s="21"/>
      <c r="D109" s="21">
        <v>10389600</v>
      </c>
      <c r="E109" s="21"/>
      <c r="F109" s="21">
        <v>616672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>
        <v>171700</v>
      </c>
      <c r="U109" s="21"/>
      <c r="V109" s="21"/>
      <c r="W109" s="21"/>
      <c r="X109" s="21"/>
      <c r="Y109" s="21"/>
      <c r="Z109" s="21"/>
      <c r="AA109" s="21"/>
      <c r="AB109" s="21">
        <v>249810</v>
      </c>
      <c r="AC109" s="21"/>
      <c r="AD109" s="21"/>
      <c r="AE109" s="21"/>
      <c r="AF109" s="21"/>
      <c r="AG109" s="21"/>
      <c r="AH109" s="21"/>
      <c r="AI109" s="21"/>
    </row>
    <row r="110" spans="1:35" x14ac:dyDescent="0.25">
      <c r="A110" s="25" t="s">
        <v>246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>
        <v>30200</v>
      </c>
      <c r="Z110" s="21"/>
      <c r="AA110" s="21"/>
      <c r="AB110" s="21">
        <v>210200</v>
      </c>
      <c r="AC110" s="21"/>
      <c r="AD110" s="21"/>
      <c r="AE110" s="21"/>
      <c r="AF110" s="21"/>
      <c r="AG110" s="21"/>
      <c r="AH110" s="21"/>
      <c r="AI110" s="21"/>
    </row>
    <row r="111" spans="1:35" x14ac:dyDescent="0.25">
      <c r="A111" s="25" t="s">
        <v>239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</row>
    <row r="112" spans="1:35" x14ac:dyDescent="0.25">
      <c r="A112" s="25" t="s">
        <v>94</v>
      </c>
      <c r="B112" s="21"/>
      <c r="C112" s="21"/>
      <c r="D112" s="21">
        <v>2345873</v>
      </c>
      <c r="E112" s="21"/>
      <c r="F112" s="21">
        <v>7164816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>
        <v>3321371</v>
      </c>
      <c r="Q112" s="21"/>
      <c r="R112" s="21"/>
      <c r="S112" s="21"/>
      <c r="T112" s="21">
        <v>300116</v>
      </c>
      <c r="U112" s="21"/>
      <c r="V112" s="21"/>
      <c r="W112" s="21">
        <v>10192363</v>
      </c>
      <c r="X112" s="21">
        <v>3844940</v>
      </c>
      <c r="Y112" s="21">
        <v>149571</v>
      </c>
      <c r="Z112" s="21"/>
      <c r="AA112" s="21"/>
      <c r="AB112" s="21">
        <f>49938+598928</f>
        <v>648866</v>
      </c>
      <c r="AC112" s="21"/>
      <c r="AD112" s="21"/>
      <c r="AE112" s="21"/>
      <c r="AF112" s="21"/>
      <c r="AG112" s="21"/>
      <c r="AH112" s="21">
        <v>5357013</v>
      </c>
      <c r="AI112" s="21"/>
    </row>
    <row r="113" spans="1:35" x14ac:dyDescent="0.25">
      <c r="A113" s="25" t="s">
        <v>174</v>
      </c>
      <c r="B113" s="21"/>
      <c r="C113" s="21"/>
      <c r="D113" s="21">
        <v>49999</v>
      </c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>
        <v>214211</v>
      </c>
      <c r="U113" s="21"/>
      <c r="V113" s="21"/>
      <c r="W113" s="21">
        <v>1304297</v>
      </c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>
        <v>1202850</v>
      </c>
      <c r="AI113" s="21"/>
    </row>
    <row r="114" spans="1:35" s="15" customFormat="1" x14ac:dyDescent="0.25">
      <c r="A114" s="23" t="s">
        <v>176</v>
      </c>
      <c r="B114" s="24"/>
      <c r="C114" s="24"/>
      <c r="D114" s="24">
        <v>31370282</v>
      </c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>
        <v>1520489</v>
      </c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>
        <v>23735737</v>
      </c>
      <c r="AI114" s="24"/>
    </row>
    <row r="115" spans="1:35" s="15" customFormat="1" x14ac:dyDescent="0.25">
      <c r="A115" s="23" t="s">
        <v>61</v>
      </c>
      <c r="B115" s="24"/>
      <c r="C115" s="24"/>
      <c r="D115" s="24">
        <v>69745372</v>
      </c>
      <c r="E115" s="24"/>
      <c r="F115" s="24">
        <v>167864429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>
        <v>222308215</v>
      </c>
      <c r="Q115" s="24"/>
      <c r="R115" s="24"/>
      <c r="S115" s="24"/>
      <c r="T115" s="24">
        <v>14622851</v>
      </c>
      <c r="U115" s="24"/>
      <c r="V115" s="24"/>
      <c r="W115" s="24">
        <v>591902008</v>
      </c>
      <c r="X115" s="24">
        <v>246258120</v>
      </c>
      <c r="Y115" s="24">
        <v>4117841</v>
      </c>
      <c r="Z115" s="24"/>
      <c r="AA115" s="24"/>
      <c r="AB115" s="24">
        <v>13016577</v>
      </c>
      <c r="AC115" s="24"/>
      <c r="AD115" s="24"/>
      <c r="AE115" s="24"/>
      <c r="AF115" s="24"/>
      <c r="AG115" s="24"/>
      <c r="AH115" s="24">
        <v>316566721</v>
      </c>
      <c r="AI115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2020-03-06T08:01:35Z</dcterms:modified>
</cp:coreProperties>
</file>